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https://samfordu-my.sharepoint.com/personal/rchappel_samford_edu/Documents/Documents/"/>
    </mc:Choice>
  </mc:AlternateContent>
  <xr:revisionPtr revIDLastSave="0" documentId="8_{D18B0B2C-9882-4821-A652-4BAC421046A7}" xr6:coauthVersionLast="47" xr6:coauthVersionMax="47" xr10:uidLastSave="{00000000-0000-0000-0000-000000000000}"/>
  <bookViews>
    <workbookView xWindow="28680" yWindow="-120" windowWidth="29040" windowHeight="15720" xr2:uid="{C77088D0-83DF-4E9F-AD2B-FF90E243C8A8}"/>
  </bookViews>
  <sheets>
    <sheet name="Form" sheetId="1" r:id="rId1"/>
    <sheet name="Example - Domestic" sheetId="4" r:id="rId2"/>
    <sheet name="Example - International"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 i="1" l="1" a="1"/>
  <c r="C37" i="1" s="1"/>
  <c r="C36" i="1" a="1"/>
  <c r="C36" i="1" s="1"/>
  <c r="C35" i="1" a="1"/>
  <c r="C35" i="1" s="1"/>
  <c r="C34" i="1" a="1"/>
  <c r="C34" i="1" s="1"/>
  <c r="C33" i="1" a="1"/>
  <c r="C33" i="1" s="1"/>
  <c r="C32" i="1" a="1"/>
  <c r="C32" i="1" s="1"/>
  <c r="C31" i="1" a="1"/>
  <c r="C31" i="1" s="1"/>
  <c r="C30" i="1" a="1"/>
  <c r="C30" i="1" s="1"/>
  <c r="C29" i="1" a="1"/>
  <c r="C29" i="1" s="1"/>
  <c r="C28" i="1" a="1"/>
  <c r="C28" i="1" s="1"/>
  <c r="C27" i="1" a="1"/>
  <c r="C27" i="1" s="1"/>
  <c r="C26" i="1" a="1"/>
  <c r="C26" i="1" s="1"/>
  <c r="C25" i="1" a="1"/>
  <c r="C25" i="1" s="1"/>
  <c r="C24" i="1" a="1"/>
  <c r="C24" i="1" s="1"/>
  <c r="C23" i="1" a="1"/>
  <c r="C23" i="1" s="1"/>
  <c r="C22" i="1" a="1"/>
  <c r="C22" i="1" s="1"/>
  <c r="K37" i="5" a="1"/>
  <c r="K37" i="5" s="1"/>
  <c r="K36" i="5" a="1"/>
  <c r="K36" i="5" s="1"/>
  <c r="K35" i="5" a="1"/>
  <c r="K35" i="5" s="1"/>
  <c r="K34" i="5" a="1"/>
  <c r="K34" i="5" s="1"/>
  <c r="K33" i="5" a="1"/>
  <c r="K33" i="5" s="1"/>
  <c r="K32" i="5" a="1"/>
  <c r="K32" i="5" s="1"/>
  <c r="K31" i="5" a="1"/>
  <c r="K31" i="5" s="1"/>
  <c r="K30" i="5" a="1"/>
  <c r="K30" i="5" s="1"/>
  <c r="C30" i="5"/>
  <c r="K29" i="5" a="1"/>
  <c r="K29" i="5" s="1"/>
  <c r="Q28" i="5"/>
  <c r="C6" i="5" s="1"/>
  <c r="K28" i="5" a="1"/>
  <c r="K28" i="5" s="1"/>
  <c r="K27" i="5" a="1"/>
  <c r="K27" i="5" s="1"/>
  <c r="K26" i="5" a="1"/>
  <c r="K26" i="5" s="1"/>
  <c r="K25" i="5" a="1"/>
  <c r="K25" i="5" s="1"/>
  <c r="K24" i="5" a="1"/>
  <c r="K24" i="5" s="1"/>
  <c r="K23" i="5" a="1"/>
  <c r="K23" i="5" s="1"/>
  <c r="F23" i="5"/>
  <c r="K22" i="5" a="1"/>
  <c r="K22" i="5" s="1"/>
  <c r="C22" i="5" a="1"/>
  <c r="C22" i="5" s="1"/>
  <c r="K21" i="5" a="1"/>
  <c r="K21" i="5" s="1"/>
  <c r="C21" i="5" a="1"/>
  <c r="C21" i="5" s="1"/>
  <c r="K20" i="5" a="1"/>
  <c r="K20" i="5" s="1"/>
  <c r="C20" i="5" a="1"/>
  <c r="C20" i="5" s="1"/>
  <c r="K19" i="5" a="1"/>
  <c r="K19" i="5" s="1"/>
  <c r="C19" i="5" a="1"/>
  <c r="C19" i="5" s="1"/>
  <c r="K18" i="5" a="1"/>
  <c r="K18" i="5" s="1"/>
  <c r="C18" i="5" a="1"/>
  <c r="C18" i="5" s="1"/>
  <c r="K17" i="5" a="1"/>
  <c r="K17" i="5" s="1"/>
  <c r="C17" i="5" a="1"/>
  <c r="C17" i="5" s="1"/>
  <c r="P16" i="5"/>
  <c r="K16" i="5" a="1"/>
  <c r="K16" i="5" s="1"/>
  <c r="C16" i="5" a="1"/>
  <c r="C16" i="5" s="1"/>
  <c r="Q15" i="5"/>
  <c r="K15" i="5" a="1"/>
  <c r="K15" i="5" s="1"/>
  <c r="C15" i="5"/>
  <c r="C15" i="5" a="1"/>
  <c r="Q14" i="5"/>
  <c r="K14" i="5" a="1"/>
  <c r="K14" i="5" s="1"/>
  <c r="C14" i="5" a="1"/>
  <c r="C14" i="5" s="1"/>
  <c r="Q13" i="5"/>
  <c r="Q16" i="5" s="1"/>
  <c r="C7" i="5" s="1"/>
  <c r="K37" i="4" a="1"/>
  <c r="K37" i="4" s="1"/>
  <c r="K36" i="4" a="1"/>
  <c r="K36" i="4" s="1"/>
  <c r="K35" i="4" a="1"/>
  <c r="K35" i="4" s="1"/>
  <c r="K34" i="4" a="1"/>
  <c r="K34" i="4" s="1"/>
  <c r="K33" i="4" a="1"/>
  <c r="K33" i="4" s="1"/>
  <c r="K32" i="4" a="1"/>
  <c r="K32" i="4" s="1"/>
  <c r="K31" i="4" a="1"/>
  <c r="K31" i="4" s="1"/>
  <c r="K30" i="4" a="1"/>
  <c r="K30" i="4" s="1"/>
  <c r="C30" i="4"/>
  <c r="K29" i="4" a="1"/>
  <c r="K29" i="4" s="1"/>
  <c r="Q28" i="4"/>
  <c r="K28" i="4" a="1"/>
  <c r="K28" i="4" s="1"/>
  <c r="K27" i="4" a="1"/>
  <c r="K27" i="4" s="1"/>
  <c r="K26" i="4" a="1"/>
  <c r="K26" i="4" s="1"/>
  <c r="K25" i="4" a="1"/>
  <c r="K25" i="4" s="1"/>
  <c r="K24" i="4" a="1"/>
  <c r="K24" i="4" s="1"/>
  <c r="K23" i="4" a="1"/>
  <c r="K23" i="4" s="1"/>
  <c r="F23" i="4"/>
  <c r="K22" i="4" a="1"/>
  <c r="K22" i="4" s="1"/>
  <c r="C22" i="4" a="1"/>
  <c r="C22" i="4" s="1"/>
  <c r="K21" i="4" a="1"/>
  <c r="K21" i="4" s="1"/>
  <c r="C21" i="4" a="1"/>
  <c r="C21" i="4" s="1"/>
  <c r="K20" i="4" a="1"/>
  <c r="K20" i="4" s="1"/>
  <c r="C20" i="4" a="1"/>
  <c r="C20" i="4" s="1"/>
  <c r="K19" i="4" a="1"/>
  <c r="K19" i="4" s="1"/>
  <c r="C19" i="4" a="1"/>
  <c r="C19" i="4" s="1"/>
  <c r="K18" i="4" a="1"/>
  <c r="K18" i="4" s="1"/>
  <c r="C18" i="4" a="1"/>
  <c r="C18" i="4" s="1"/>
  <c r="K17" i="4" a="1"/>
  <c r="K17" i="4" s="1"/>
  <c r="C17" i="4" a="1"/>
  <c r="C17" i="4" s="1"/>
  <c r="P16" i="4"/>
  <c r="K16" i="4" a="1"/>
  <c r="K16" i="4" s="1"/>
  <c r="C16" i="4" a="1"/>
  <c r="C16" i="4" s="1"/>
  <c r="Q15" i="4"/>
  <c r="K15" i="4" a="1"/>
  <c r="K15" i="4" s="1"/>
  <c r="C15" i="4" a="1"/>
  <c r="C15" i="4" s="1"/>
  <c r="Q14" i="4"/>
  <c r="K14" i="4" a="1"/>
  <c r="K14" i="4" s="1"/>
  <c r="C14" i="4" a="1"/>
  <c r="C14" i="4" s="1"/>
  <c r="Q13" i="4"/>
  <c r="Q16" i="4" s="1"/>
  <c r="C7" i="4" s="1"/>
  <c r="C6" i="4"/>
  <c r="K37" i="1" a="1"/>
  <c r="K37" i="1" s="1"/>
  <c r="K36" i="1" a="1"/>
  <c r="K36" i="1" s="1"/>
  <c r="K35" i="1" a="1"/>
  <c r="K35" i="1" s="1"/>
  <c r="K34" i="1" a="1"/>
  <c r="K34" i="1" s="1"/>
  <c r="K33" i="1" a="1"/>
  <c r="K33" i="1" s="1"/>
  <c r="K32" i="1" a="1"/>
  <c r="K32" i="1" s="1"/>
  <c r="K31" i="1" a="1"/>
  <c r="K31" i="1" s="1"/>
  <c r="K30" i="1" a="1"/>
  <c r="K30" i="1" s="1"/>
  <c r="K29" i="1" a="1"/>
  <c r="K29" i="1" s="1"/>
  <c r="K28" i="1" a="1"/>
  <c r="K28" i="1" s="1"/>
  <c r="K27" i="1" a="1"/>
  <c r="K27" i="1" s="1"/>
  <c r="K26" i="1" a="1"/>
  <c r="K26" i="1" s="1"/>
  <c r="K25" i="1" a="1"/>
  <c r="K25" i="1" s="1"/>
  <c r="K24" i="1" a="1"/>
  <c r="K24" i="1" s="1"/>
  <c r="K23" i="1" a="1"/>
  <c r="K23" i="1" s="1"/>
  <c r="K22" i="1" a="1"/>
  <c r="K22" i="1" s="1"/>
  <c r="K21" i="1" a="1"/>
  <c r="K21" i="1" s="1"/>
  <c r="K20" i="1" a="1"/>
  <c r="K20" i="1" s="1"/>
  <c r="K19" i="1" a="1"/>
  <c r="K19" i="1" s="1"/>
  <c r="K18" i="1" a="1"/>
  <c r="K18" i="1" s="1"/>
  <c r="K17" i="1" a="1"/>
  <c r="K17" i="1" s="1"/>
  <c r="K16" i="1" a="1"/>
  <c r="K16" i="1" s="1"/>
  <c r="K15" i="1" a="1"/>
  <c r="K15" i="1" s="1"/>
  <c r="C14" i="1" a="1"/>
  <c r="C14" i="1" s="1"/>
  <c r="P16" i="1"/>
  <c r="Q15" i="1"/>
  <c r="Q14" i="1"/>
  <c r="Q13" i="1"/>
  <c r="C21" i="1" a="1"/>
  <c r="C21" i="1" s="1"/>
  <c r="C20" i="1" a="1"/>
  <c r="C20" i="1" s="1"/>
  <c r="C19" i="1" a="1"/>
  <c r="C19" i="1" s="1"/>
  <c r="C18" i="1" a="1"/>
  <c r="C18" i="1" s="1"/>
  <c r="C17" i="1" a="1"/>
  <c r="C17" i="1" s="1"/>
  <c r="C16" i="1" a="1"/>
  <c r="C16" i="1" s="1"/>
  <c r="C15" i="1" a="1"/>
  <c r="C15" i="1" s="1"/>
  <c r="K14" i="1" a="1"/>
  <c r="K14" i="1" s="1"/>
  <c r="Q34" i="1"/>
  <c r="Q27" i="1"/>
  <c r="F38" i="1" l="1"/>
  <c r="C6" i="1"/>
  <c r="C23" i="5"/>
  <c r="K38" i="5"/>
  <c r="C8" i="5" s="1"/>
  <c r="C9" i="5" s="1" a="1"/>
  <c r="C9" i="5" s="1"/>
  <c r="C23" i="4"/>
  <c r="K38" i="4"/>
  <c r="C8" i="4" s="1"/>
  <c r="C9" i="4" s="1" a="1"/>
  <c r="C9" i="4" s="1"/>
  <c r="K38" i="1"/>
  <c r="Q16" i="1"/>
  <c r="C7" i="1" s="1"/>
  <c r="C38" i="1"/>
  <c r="C8" i="1" l="1"/>
  <c r="C9" i="1" s="1" a="1"/>
  <c r="C9"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<sst xmlns="http://schemas.openxmlformats.org/spreadsheetml/2006/main" count="145" uniqueCount="38">
  <si>
    <t>2023 Meal Allocation Calculation</t>
  </si>
  <si>
    <t>Number of Days:</t>
  </si>
  <si>
    <t>Daily Meal Allowance:</t>
  </si>
  <si>
    <t>1st &amp; Last Day Allowance:</t>
  </si>
  <si>
    <t>Actual Reimbursed Amount:</t>
  </si>
  <si>
    <t>Day</t>
  </si>
  <si>
    <t>Total:</t>
  </si>
  <si>
    <t>Number of Days</t>
  </si>
  <si>
    <t>Breakfast</t>
  </si>
  <si>
    <t>Lunch</t>
  </si>
  <si>
    <t>Dinner</t>
  </si>
  <si>
    <t>Total Deducted for Included:</t>
  </si>
  <si>
    <t>Maximum Allowance</t>
  </si>
  <si>
    <t>Actual Amount</t>
  </si>
  <si>
    <t>Domestic or International (D/I)</t>
  </si>
  <si>
    <t>Domestic Daily Meal Allowance Breakdown</t>
  </si>
  <si>
    <t>Domestic Deduction</t>
  </si>
  <si>
    <t>International Deduction</t>
  </si>
  <si>
    <t>International Daily Meal Allowance Breakdown</t>
  </si>
  <si>
    <t>$59/Domestic and $65/International</t>
  </si>
  <si>
    <t>Reimbursement Limit:</t>
  </si>
  <si>
    <t>Deductions:</t>
  </si>
  <si>
    <t>$44.25/Domestic and $48.75/International</t>
  </si>
  <si>
    <t>D</t>
  </si>
  <si>
    <t>I</t>
  </si>
  <si>
    <t>Meals Provided</t>
  </si>
  <si>
    <t>If an individual meal is deemed excessive or unnecessary, the charges can be deemed reimbursable per Samford University policy.</t>
  </si>
  <si>
    <r>
      <t xml:space="preserve">Please fill in the </t>
    </r>
    <r>
      <rPr>
        <b/>
        <u/>
        <sz val="11"/>
        <color theme="1"/>
        <rFont val="Calibri"/>
        <family val="2"/>
        <scheme val="minor"/>
      </rPr>
      <t>yellow</t>
    </r>
    <r>
      <rPr>
        <sz val="11"/>
        <color theme="1"/>
        <rFont val="Calibri"/>
        <family val="2"/>
        <scheme val="minor"/>
      </rPr>
      <t xml:space="preserve"> highlighted cells with information based on the travel expenses. Cells highlighted in </t>
    </r>
    <r>
      <rPr>
        <b/>
        <u/>
        <sz val="11"/>
        <color theme="1"/>
        <rFont val="Calibri"/>
        <family val="2"/>
        <scheme val="minor"/>
      </rPr>
      <t>green</t>
    </r>
    <r>
      <rPr>
        <sz val="11"/>
        <color theme="1"/>
        <rFont val="Calibri"/>
        <family val="2"/>
        <scheme val="minor"/>
      </rPr>
      <t xml:space="preserve"> are formula based to calculate totals and are locked. If questions, please reach out to Bekah Chappell at extension 4330.</t>
    </r>
  </si>
  <si>
    <t>SAM1992</t>
  </si>
  <si>
    <t>Meals Covered</t>
  </si>
  <si>
    <t>Meals Covered for Other Individuals</t>
  </si>
  <si>
    <t>Total Added for Covered:</t>
  </si>
  <si>
    <t>Total</t>
  </si>
  <si>
    <t>Number of Meals</t>
  </si>
  <si>
    <t>Additions:</t>
  </si>
  <si>
    <t>Additions include any meals that were purchased for a qualified affiliate such as a student or co-worker. Please note how many meals of each category apply.</t>
  </si>
  <si>
    <t>Deductions include any conference or other meals that were provided during the travel. If business meals are included on your reimbursement separately from travel meals, deduct from your travel meal per IRS rates. Please note how many of each category were attended.</t>
  </si>
  <si>
    <t>If an individual meal is deemed excessive or unnecessary, the charges can be deemed non-reimbursable per Samford University policy.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</si>
</sst>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quot;$&quot;#,##0.00"/>
  </numFmts>
  <fonts count="5" x14ac:knownFonts="1">
    <font>
      <sz val="11"/>
      <color theme="1"/>
      <name val="Calibri"/>
      <family val="2"/>
      <scheme val="minor"/>
    </font>
    <font>
      <sz val="11"/>
      <color theme="1"/>
      <name val="Calibri"/>
      <family val="2"/>
      <scheme val="minor"/>
    </font>
    <font>
      <sz val="18"/>
      <color theme="3"/>
      <name val="Calibri Light"/>
      <family val="2"/>
      <scheme val="major"/>
    </font>
    <font>
      <b/>
      <u/>
      <sz val="11"/>
      <color theme="1"/>
      <name val="Calibri"/>
      <family val="2"/>
      <scheme val="minor"/>
    </font>
    <font>
      <sz val="11"/>
      <color theme="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9" tint="0.79998168889431442"/>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131">
    <xf numFmtId="0" fontId="0" fillId="0" borderId="0" xfId="0"/>
    <xf numFmtId="44" fontId="0" fillId="0" borderId="0" xfId="0" applyNumberFormat="1"/>
    <xf numFmtId="0" fontId="4" fillId="0" borderId="0" xfId="0" applyFont="1"/>
    <xf numFmtId="0" fontId="0" fillId="0" borderId="5" xfId="0" applyBorder="1"/>
    <xf numFmtId="0" fontId="0" fillId="0" borderId="21" xfId="0" applyBorder="1"/>
    <xf numFmtId="0" fontId="0" fillId="0" borderId="7" xfId="0" applyBorder="1"/>
    <xf numFmtId="0" fontId="0" fillId="0" borderId="8" xfId="0" applyBorder="1"/>
    <xf numFmtId="0" fontId="0" fillId="0" borderId="0" xfId="0" applyAlignment="1">
      <alignment horizontal="left" vertical="top" wrapText="1"/>
    </xf>
    <xf numFmtId="0" fontId="0" fillId="3" borderId="4" xfId="0" applyFill="1" applyBorder="1" applyProtection="1">
      <protection locked="0"/>
    </xf>
    <xf numFmtId="0" fontId="0" fillId="4" borderId="8" xfId="0" applyFill="1" applyBorder="1"/>
    <xf numFmtId="0" fontId="0" fillId="4" borderId="9" xfId="0" applyFill="1" applyBorder="1"/>
    <xf numFmtId="0" fontId="0" fillId="0" borderId="9" xfId="0" applyBorder="1"/>
    <xf numFmtId="0" fontId="0" fillId="4" borderId="23" xfId="0" applyFill="1" applyBorder="1"/>
    <xf numFmtId="0" fontId="0" fillId="4" borderId="6" xfId="0" applyFill="1" applyBorder="1"/>
    <xf numFmtId="0" fontId="0" fillId="3" borderId="22" xfId="0" applyFill="1" applyBorder="1" applyProtection="1">
      <protection locked="0"/>
    </xf>
    <xf numFmtId="0" fontId="0" fillId="0" borderId="0" xfId="0" applyAlignment="1">
      <alignmen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4" xfId="0" applyBorder="1" applyAlignment="1">
      <alignment horizontal="left" vertical="center" wrapText="1"/>
    </xf>
    <xf numFmtId="0" fontId="0" fillId="0" borderId="0" xfId="0"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38" xfId="0" applyBorder="1" applyAlignment="1">
      <alignment horizontal="left" vertical="center" wrapText="1"/>
    </xf>
    <xf numFmtId="0" fontId="0" fillId="0" borderId="39" xfId="0"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0" fillId="0" borderId="5" xfId="0" applyBorder="1"/>
    <xf numFmtId="0" fontId="0" fillId="0" borderId="4" xfId="0" applyBorder="1"/>
    <xf numFmtId="44" fontId="0" fillId="4" borderId="4" xfId="1" applyFont="1" applyFill="1" applyBorder="1"/>
    <xf numFmtId="44" fontId="0" fillId="4" borderId="6" xfId="1" applyFont="1" applyFill="1" applyBorder="1"/>
    <xf numFmtId="8" fontId="0" fillId="4" borderId="10" xfId="0" applyNumberFormat="1" applyFill="1" applyBorder="1"/>
    <xf numFmtId="8" fontId="0" fillId="4" borderId="11" xfId="0" applyNumberFormat="1" applyFill="1" applyBorder="1"/>
    <xf numFmtId="8" fontId="0" fillId="4" borderId="12" xfId="0" applyNumberFormat="1" applyFill="1" applyBorder="1"/>
    <xf numFmtId="0" fontId="0" fillId="0" borderId="1" xfId="0" applyBorder="1" applyAlignment="1">
      <alignment wrapText="1"/>
    </xf>
    <xf numFmtId="0" fontId="0" fillId="0" borderId="2" xfId="0" applyBorder="1" applyAlignment="1">
      <alignment wrapText="1"/>
    </xf>
    <xf numFmtId="0" fontId="0" fillId="0" borderId="3" xfId="0" applyBorder="1" applyAlignment="1">
      <alignment wrapText="1"/>
    </xf>
    <xf numFmtId="0" fontId="0" fillId="0" borderId="34" xfId="0" applyBorder="1" applyAlignment="1">
      <alignment wrapText="1"/>
    </xf>
    <xf numFmtId="0" fontId="0" fillId="0" borderId="0" xfId="0" applyAlignment="1">
      <alignment wrapText="1"/>
    </xf>
    <xf numFmtId="0" fontId="0" fillId="0" borderId="35" xfId="0" applyBorder="1" applyAlignment="1">
      <alignment wrapText="1"/>
    </xf>
    <xf numFmtId="0" fontId="0" fillId="0" borderId="36" xfId="0" applyBorder="1" applyAlignment="1">
      <alignment wrapText="1"/>
    </xf>
    <xf numFmtId="0" fontId="0" fillId="0" borderId="37" xfId="0" applyBorder="1" applyAlignment="1">
      <alignment wrapText="1"/>
    </xf>
    <xf numFmtId="0" fontId="0" fillId="0" borderId="38" xfId="0" applyBorder="1" applyAlignment="1">
      <alignment wrapText="1"/>
    </xf>
    <xf numFmtId="44" fontId="0" fillId="4" borderId="8" xfId="1" applyFont="1" applyFill="1" applyBorder="1"/>
    <xf numFmtId="44" fontId="0" fillId="4" borderId="9" xfId="1" applyFont="1" applyFill="1" applyBorder="1"/>
    <xf numFmtId="0" fontId="0" fillId="0" borderId="6" xfId="0" applyBorder="1"/>
    <xf numFmtId="164" fontId="0" fillId="3" borderId="4" xfId="0" applyNumberFormat="1" applyFill="1" applyBorder="1" applyProtection="1">
      <protection locked="0"/>
    </xf>
    <xf numFmtId="164" fontId="0" fillId="3" borderId="6" xfId="0" applyNumberFormat="1" applyFill="1" applyBorder="1" applyProtection="1">
      <protection locked="0"/>
    </xf>
    <xf numFmtId="0" fontId="0" fillId="0" borderId="5" xfId="0" applyBorder="1" applyAlignment="1">
      <alignment horizontal="center"/>
    </xf>
    <xf numFmtId="0" fontId="0" fillId="0" borderId="4" xfId="0" applyBorder="1" applyAlignment="1">
      <alignment horizontal="center"/>
    </xf>
    <xf numFmtId="0" fontId="2" fillId="0" borderId="1" xfId="2" applyBorder="1" applyAlignment="1">
      <alignment horizontal="center"/>
    </xf>
    <xf numFmtId="0" fontId="2" fillId="0" borderId="2" xfId="2" applyBorder="1" applyAlignment="1">
      <alignment horizontal="center"/>
    </xf>
    <xf numFmtId="0" fontId="2" fillId="0" borderId="3" xfId="2" applyBorder="1" applyAlignment="1">
      <alignment horizontal="center"/>
    </xf>
    <xf numFmtId="0" fontId="0" fillId="0" borderId="13" xfId="0" applyBorder="1"/>
    <xf numFmtId="0" fontId="0" fillId="0" borderId="14" xfId="0" applyBorder="1"/>
    <xf numFmtId="8" fontId="0" fillId="3" borderId="4" xfId="0" applyNumberFormat="1" applyFill="1" applyBorder="1" applyAlignment="1" applyProtection="1">
      <alignment horizontal="right"/>
      <protection locked="0"/>
    </xf>
    <xf numFmtId="0" fontId="0" fillId="3" borderId="4" xfId="0" applyFill="1" applyBorder="1" applyAlignment="1" applyProtection="1">
      <alignment horizontal="right"/>
      <protection locked="0"/>
    </xf>
    <xf numFmtId="0" fontId="0" fillId="3" borderId="6" xfId="0" applyFill="1" applyBorder="1" applyAlignment="1" applyProtection="1">
      <alignment horizontal="right"/>
      <protection locked="0"/>
    </xf>
    <xf numFmtId="8" fontId="0" fillId="0" borderId="4" xfId="0" applyNumberFormat="1" applyBorder="1"/>
    <xf numFmtId="6" fontId="0" fillId="0" borderId="4" xfId="0" applyNumberFormat="1" applyBorder="1"/>
    <xf numFmtId="0" fontId="0" fillId="3" borderId="4" xfId="0" applyFill="1" applyBorder="1" applyProtection="1">
      <protection locked="0"/>
    </xf>
    <xf numFmtId="0" fontId="0" fillId="3" borderId="6" xfId="0" applyFill="1" applyBorder="1" applyProtection="1">
      <protection locked="0"/>
    </xf>
    <xf numFmtId="0" fontId="0" fillId="0" borderId="18" xfId="0" applyBorder="1"/>
    <xf numFmtId="0" fontId="0" fillId="0" borderId="20" xfId="0" applyBorder="1"/>
    <xf numFmtId="44" fontId="0" fillId="4" borderId="18" xfId="1" applyFont="1" applyFill="1" applyBorder="1"/>
    <xf numFmtId="44" fontId="0" fillId="4" borderId="19" xfId="1" applyFont="1" applyFill="1" applyBorder="1"/>
    <xf numFmtId="44" fontId="0" fillId="4" borderId="20" xfId="1" applyFont="1" applyFill="1" applyBorder="1"/>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27" xfId="0" applyBorder="1"/>
    <xf numFmtId="0" fontId="0" fillId="0" borderId="28" xfId="0" applyBorder="1"/>
    <xf numFmtId="0" fontId="0" fillId="3" borderId="29" xfId="1" applyNumberFormat="1" applyFont="1" applyFill="1" applyBorder="1" applyProtection="1">
      <protection locked="0"/>
    </xf>
    <xf numFmtId="0" fontId="0" fillId="3" borderId="30" xfId="1" applyNumberFormat="1" applyFont="1" applyFill="1" applyBorder="1" applyProtection="1">
      <protection locked="0"/>
    </xf>
    <xf numFmtId="0" fontId="0" fillId="3" borderId="31" xfId="1" applyNumberFormat="1" applyFont="1" applyFill="1" applyBorder="1" applyProtection="1">
      <protection locked="0"/>
    </xf>
    <xf numFmtId="0" fontId="0" fillId="3" borderId="10" xfId="1" applyNumberFormat="1" applyFont="1" applyFill="1" applyBorder="1" applyProtection="1">
      <protection locked="0"/>
    </xf>
    <xf numFmtId="0" fontId="0" fillId="3" borderId="11" xfId="1" applyNumberFormat="1" applyFont="1" applyFill="1" applyBorder="1" applyProtection="1">
      <protection locked="0"/>
    </xf>
    <xf numFmtId="0" fontId="0" fillId="3" borderId="12" xfId="1" applyNumberFormat="1" applyFont="1" applyFill="1" applyBorder="1" applyProtection="1">
      <protection locked="0"/>
    </xf>
    <xf numFmtId="0" fontId="0" fillId="0" borderId="7" xfId="0" applyBorder="1"/>
    <xf numFmtId="0" fontId="0" fillId="0" borderId="8" xfId="0" applyBorder="1"/>
    <xf numFmtId="8" fontId="0" fillId="4" borderId="8" xfId="0" applyNumberFormat="1" applyFill="1" applyBorder="1"/>
    <xf numFmtId="8" fontId="0" fillId="4" borderId="9" xfId="0" applyNumberFormat="1" applyFill="1" applyBorder="1"/>
    <xf numFmtId="2" fontId="0" fillId="0" borderId="4" xfId="1" applyNumberFormat="1" applyFont="1" applyBorder="1"/>
    <xf numFmtId="0" fontId="0" fillId="0" borderId="33" xfId="0" applyBorder="1"/>
    <xf numFmtId="0" fontId="0" fillId="0" borderId="16" xfId="0" applyBorder="1"/>
    <xf numFmtId="0" fontId="0" fillId="0" borderId="17" xfId="0" applyBorder="1"/>
    <xf numFmtId="0" fontId="0" fillId="0" borderId="15" xfId="0" applyBorder="1"/>
    <xf numFmtId="0" fontId="0" fillId="0" borderId="32" xfId="0" applyBorder="1"/>
    <xf numFmtId="0" fontId="0" fillId="3" borderId="43" xfId="1" applyNumberFormat="1" applyFont="1" applyFill="1" applyBorder="1" applyProtection="1">
      <protection locked="0"/>
    </xf>
    <xf numFmtId="0" fontId="0" fillId="3" borderId="40" xfId="1" applyNumberFormat="1" applyFont="1" applyFill="1" applyBorder="1" applyProtection="1">
      <protection locked="0"/>
    </xf>
    <xf numFmtId="0" fontId="0" fillId="3" borderId="41" xfId="1" applyNumberFormat="1" applyFont="1" applyFill="1" applyBorder="1" applyProtection="1">
      <protection locked="0"/>
    </xf>
    <xf numFmtId="0" fontId="0" fillId="0" borderId="39" xfId="0" applyBorder="1"/>
    <xf numFmtId="0" fontId="0" fillId="0" borderId="42" xfId="0" applyBorder="1"/>
    <xf numFmtId="44" fontId="0" fillId="4" borderId="8" xfId="0" applyNumberFormat="1" applyFill="1" applyBorder="1"/>
    <xf numFmtId="0" fontId="0" fillId="4" borderId="8" xfId="0" applyFill="1" applyBorder="1"/>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34" xfId="0" applyBorder="1" applyAlignment="1">
      <alignment horizontal="left" vertical="top" wrapText="1"/>
    </xf>
    <xf numFmtId="0" fontId="0" fillId="0" borderId="0" xfId="0" applyAlignment="1">
      <alignment horizontal="left" vertical="top" wrapText="1"/>
    </xf>
    <xf numFmtId="0" fontId="0" fillId="0" borderId="35" xfId="0" applyBorder="1" applyAlignment="1">
      <alignment horizontal="left" vertical="top" wrapText="1"/>
    </xf>
    <xf numFmtId="0" fontId="0" fillId="0" borderId="36" xfId="0" applyBorder="1" applyAlignment="1">
      <alignment horizontal="left" vertical="top" wrapText="1"/>
    </xf>
    <xf numFmtId="0" fontId="0" fillId="0" borderId="37" xfId="0" applyBorder="1" applyAlignment="1">
      <alignment horizontal="left" vertical="top" wrapText="1"/>
    </xf>
    <xf numFmtId="0" fontId="0" fillId="0" borderId="38" xfId="0" applyBorder="1" applyAlignment="1">
      <alignment horizontal="left" vertical="top" wrapText="1"/>
    </xf>
    <xf numFmtId="0" fontId="0" fillId="0" borderId="6" xfId="0" applyBorder="1" applyAlignment="1">
      <alignment horizontal="center"/>
    </xf>
    <xf numFmtId="44" fontId="0" fillId="0" borderId="4" xfId="1" applyFont="1" applyBorder="1"/>
    <xf numFmtId="44" fontId="0" fillId="0" borderId="6" xfId="1" applyFont="1" applyBorder="1"/>
    <xf numFmtId="0" fontId="0" fillId="4" borderId="9" xfId="0" applyFill="1" applyBorder="1"/>
    <xf numFmtId="164" fontId="0" fillId="3" borderId="10" xfId="0" applyNumberFormat="1" applyFill="1" applyBorder="1" applyProtection="1">
      <protection locked="0"/>
    </xf>
    <xf numFmtId="164" fontId="0" fillId="3" borderId="12" xfId="0" applyNumberFormat="1" applyFill="1" applyBorder="1" applyProtection="1">
      <protection locked="0"/>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34" xfId="0" applyBorder="1" applyAlignment="1">
      <alignment horizontal="center" vertical="center" wrapText="1"/>
    </xf>
    <xf numFmtId="0" fontId="0" fillId="0" borderId="0" xfId="0"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3" borderId="4" xfId="1" applyNumberFormat="1" applyFont="1" applyFill="1" applyBorder="1" applyProtection="1">
      <protection locked="0"/>
    </xf>
    <xf numFmtId="0" fontId="0" fillId="3" borderId="6" xfId="1" applyNumberFormat="1" applyFont="1" applyFill="1" applyBorder="1" applyProtection="1">
      <protection locked="0"/>
    </xf>
    <xf numFmtId="0" fontId="0" fillId="0" borderId="21" xfId="0" applyBorder="1"/>
    <xf numFmtId="0" fontId="0" fillId="0" borderId="22" xfId="0" applyBorder="1"/>
    <xf numFmtId="0" fontId="0" fillId="3" borderId="22" xfId="1" applyNumberFormat="1" applyFont="1" applyFill="1" applyBorder="1" applyProtection="1">
      <protection locked="0"/>
    </xf>
    <xf numFmtId="0" fontId="0" fillId="3" borderId="23" xfId="1" applyNumberFormat="1" applyFont="1" applyFill="1" applyBorder="1" applyProtection="1">
      <protection locked="0"/>
    </xf>
    <xf numFmtId="0" fontId="0" fillId="0" borderId="24" xfId="0" applyBorder="1"/>
    <xf numFmtId="0" fontId="0" fillId="0" borderId="25" xfId="0" applyBorder="1"/>
    <xf numFmtId="0" fontId="0" fillId="0" borderId="26" xfId="0" applyBorder="1"/>
    <xf numFmtId="8" fontId="0" fillId="2" borderId="8" xfId="0" applyNumberFormat="1" applyFill="1" applyBorder="1"/>
    <xf numFmtId="8" fontId="0" fillId="2" borderId="9" xfId="0" applyNumberFormat="1" applyFill="1" applyBorder="1"/>
  </cellXfs>
  <cellStyles count="3">
    <cellStyle name="Currency" xfId="1" builtinId="4"/>
    <cellStyle name="Normal" xfId="0" builtinId="0"/>
    <cellStyle name="Title" xfId="2"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52CD5-0E8C-492F-8643-0ACD693FF722}">
  <sheetPr codeName="Sheet1">
    <pageSetUpPr fitToPage="1"/>
  </sheetPr>
  <dimension ref="A1:S68"/>
  <sheetViews>
    <sheetView tabSelected="1" zoomScaleNormal="100" workbookViewId="0">
      <selection activeCell="F15" sqref="F15:G15"/>
    </sheetView>
  </sheetViews>
  <sheetFormatPr defaultRowHeight="15" x14ac:dyDescent="0.25"/>
  <cols>
    <col min="2" max="2" width="19" customWidth="1"/>
    <col min="5" max="5" width="21.7109375" customWidth="1"/>
    <col min="9" max="9" width="12" customWidth="1"/>
    <col min="10" max="10" width="14.42578125" customWidth="1"/>
    <col min="13" max="13" width="16.85546875" customWidth="1"/>
    <col min="15" max="15" width="23.5703125" bestFit="1" customWidth="1"/>
    <col min="16" max="16" width="16.42578125" bestFit="1" customWidth="1"/>
    <col min="17" max="17" width="22.140625" bestFit="1" customWidth="1"/>
  </cols>
  <sheetData>
    <row r="1" spans="1:17" ht="24" thickBot="1" x14ac:dyDescent="0.4">
      <c r="A1" s="51" t="s">
        <v>0</v>
      </c>
      <c r="B1" s="52"/>
      <c r="C1" s="52"/>
      <c r="D1" s="52"/>
      <c r="E1" s="53"/>
    </row>
    <row r="2" spans="1:17" ht="15" customHeight="1" x14ac:dyDescent="0.25">
      <c r="A2" s="28" t="s">
        <v>1</v>
      </c>
      <c r="B2" s="29"/>
      <c r="C2" s="61"/>
      <c r="D2" s="61"/>
      <c r="E2" s="62"/>
      <c r="G2" s="96" t="s">
        <v>27</v>
      </c>
      <c r="H2" s="97"/>
      <c r="I2" s="97"/>
      <c r="J2" s="97"/>
      <c r="K2" s="97"/>
      <c r="L2" s="97"/>
      <c r="M2" s="97"/>
      <c r="N2" s="97"/>
      <c r="O2" s="98"/>
    </row>
    <row r="3" spans="1:17" x14ac:dyDescent="0.25">
      <c r="A3" s="28" t="s">
        <v>2</v>
      </c>
      <c r="B3" s="29"/>
      <c r="C3" s="60" t="s">
        <v>19</v>
      </c>
      <c r="D3" s="29"/>
      <c r="E3" s="46"/>
      <c r="G3" s="99"/>
      <c r="H3" s="100"/>
      <c r="I3" s="100"/>
      <c r="J3" s="100"/>
      <c r="K3" s="100"/>
      <c r="L3" s="100"/>
      <c r="M3" s="100"/>
      <c r="N3" s="100"/>
      <c r="O3" s="101"/>
    </row>
    <row r="4" spans="1:17" ht="15.75" thickBot="1" x14ac:dyDescent="0.3">
      <c r="A4" s="28" t="s">
        <v>3</v>
      </c>
      <c r="B4" s="29"/>
      <c r="C4" s="59" t="s">
        <v>22</v>
      </c>
      <c r="D4" s="29"/>
      <c r="E4" s="46"/>
      <c r="G4" s="102"/>
      <c r="H4" s="103"/>
      <c r="I4" s="103"/>
      <c r="J4" s="103"/>
      <c r="K4" s="103"/>
      <c r="L4" s="103"/>
      <c r="M4" s="103"/>
      <c r="N4" s="103"/>
      <c r="O4" s="104"/>
    </row>
    <row r="5" spans="1:17" ht="15.75" thickBot="1" x14ac:dyDescent="0.3">
      <c r="A5" s="54" t="s">
        <v>14</v>
      </c>
      <c r="B5" s="55"/>
      <c r="C5" s="56"/>
      <c r="D5" s="57"/>
      <c r="E5" s="58"/>
    </row>
    <row r="6" spans="1:17" x14ac:dyDescent="0.25">
      <c r="A6" s="54" t="s">
        <v>21</v>
      </c>
      <c r="B6" s="55"/>
      <c r="C6" s="32">
        <f>IF(C5="D",Q27,Q34)</f>
        <v>0</v>
      </c>
      <c r="D6" s="33"/>
      <c r="E6" s="34"/>
      <c r="G6" s="96" t="s">
        <v>37</v>
      </c>
      <c r="H6" s="97"/>
      <c r="I6" s="97"/>
      <c r="J6" s="97"/>
      <c r="K6" s="97"/>
      <c r="L6" s="97"/>
      <c r="M6" s="97"/>
      <c r="N6" s="97"/>
      <c r="O6" s="98"/>
    </row>
    <row r="7" spans="1:17" ht="15.75" thickBot="1" x14ac:dyDescent="0.3">
      <c r="A7" s="28" t="s">
        <v>34</v>
      </c>
      <c r="B7" s="29"/>
      <c r="C7" s="32">
        <f>Q16</f>
        <v>0</v>
      </c>
      <c r="D7" s="33"/>
      <c r="E7" s="34"/>
      <c r="G7" s="102"/>
      <c r="H7" s="103"/>
      <c r="I7" s="103"/>
      <c r="J7" s="103"/>
      <c r="K7" s="103"/>
      <c r="L7" s="103"/>
      <c r="M7" s="103"/>
      <c r="N7" s="103"/>
      <c r="O7" s="104"/>
    </row>
    <row r="8" spans="1:17" x14ac:dyDescent="0.25">
      <c r="A8" s="28" t="s">
        <v>20</v>
      </c>
      <c r="B8" s="29"/>
      <c r="C8" s="32" t="e">
        <f>IF(C5="D",(C38+C7-C6),(K38+C7-C6))</f>
        <v>#N/A</v>
      </c>
      <c r="D8" s="33"/>
      <c r="E8" s="34"/>
      <c r="G8" s="7"/>
      <c r="H8" s="7"/>
      <c r="I8" s="7"/>
      <c r="J8" s="7"/>
      <c r="K8" s="7"/>
      <c r="L8" s="7"/>
      <c r="M8" s="7"/>
      <c r="N8" s="7"/>
      <c r="O8" s="7"/>
    </row>
    <row r="9" spans="1:17" ht="15.75" thickBot="1" x14ac:dyDescent="0.3">
      <c r="A9" s="79" t="s">
        <v>4</v>
      </c>
      <c r="B9" s="80"/>
      <c r="C9" s="81" t="e" cm="1">
        <f t="array" ref="C9">_xlfn.IFS(C5="D",MIN(C8,F38),C5="I",K38+Q16-Q34)</f>
        <v>#N/A</v>
      </c>
      <c r="D9" s="81"/>
      <c r="E9" s="82"/>
    </row>
    <row r="10" spans="1:17" ht="15.75" thickBot="1" x14ac:dyDescent="0.3"/>
    <row r="11" spans="1:17" x14ac:dyDescent="0.25">
      <c r="A11" s="25" t="s">
        <v>15</v>
      </c>
      <c r="B11" s="26"/>
      <c r="C11" s="26"/>
      <c r="D11" s="26"/>
      <c r="E11" s="26"/>
      <c r="F11" s="26"/>
      <c r="G11" s="27"/>
      <c r="I11" s="25" t="s">
        <v>18</v>
      </c>
      <c r="J11" s="26"/>
      <c r="K11" s="26"/>
      <c r="L11" s="26"/>
      <c r="M11" s="27"/>
      <c r="O11" s="25" t="s">
        <v>30</v>
      </c>
      <c r="P11" s="26"/>
      <c r="Q11" s="27"/>
    </row>
    <row r="12" spans="1:17" ht="15.75" thickBot="1" x14ac:dyDescent="0.3">
      <c r="A12" s="49" t="s">
        <v>5</v>
      </c>
      <c r="B12" s="50"/>
      <c r="C12" s="50" t="s">
        <v>12</v>
      </c>
      <c r="D12" s="50"/>
      <c r="E12" s="50"/>
      <c r="F12" s="29" t="s">
        <v>13</v>
      </c>
      <c r="G12" s="46"/>
      <c r="I12" s="49" t="s">
        <v>5</v>
      </c>
      <c r="J12" s="50"/>
      <c r="K12" s="50" t="s">
        <v>12</v>
      </c>
      <c r="L12" s="50"/>
      <c r="M12" s="105"/>
      <c r="O12" s="5" t="s">
        <v>29</v>
      </c>
      <c r="P12" s="6" t="s">
        <v>33</v>
      </c>
      <c r="Q12" s="11" t="s">
        <v>32</v>
      </c>
    </row>
    <row r="13" spans="1:17" x14ac:dyDescent="0.25">
      <c r="A13" s="28">
        <v>1</v>
      </c>
      <c r="B13" s="29"/>
      <c r="C13" s="83">
        <v>44.25</v>
      </c>
      <c r="D13" s="83"/>
      <c r="E13" s="83"/>
      <c r="F13" s="47"/>
      <c r="G13" s="48"/>
      <c r="I13" s="28">
        <v>1</v>
      </c>
      <c r="J13" s="29"/>
      <c r="K13" s="106">
        <v>48.75</v>
      </c>
      <c r="L13" s="106"/>
      <c r="M13" s="107"/>
      <c r="O13" s="4" t="s">
        <v>8</v>
      </c>
      <c r="P13" s="14"/>
      <c r="Q13" s="12">
        <f>IF(C5="D",P13*13,P13*14)</f>
        <v>0</v>
      </c>
    </row>
    <row r="14" spans="1:17" x14ac:dyDescent="0.25">
      <c r="A14" s="28">
        <v>2</v>
      </c>
      <c r="B14" s="29"/>
      <c r="C14" s="30" t="e" cm="1">
        <f t="array" ref="C14">_xlfn.IFS(AND($C$2=2,$C$5="D"),44.25,AND($C$2&gt;=3,$C$5="D"),59,AND($C$2&lt;=1,$C$5="D"),,$C$5="I",)</f>
        <v>#N/A</v>
      </c>
      <c r="D14" s="30"/>
      <c r="E14" s="30"/>
      <c r="F14" s="47"/>
      <c r="G14" s="48"/>
      <c r="I14" s="28">
        <v>2</v>
      </c>
      <c r="J14" s="29"/>
      <c r="K14" s="30" t="e" cm="1">
        <f t="array" ref="K14">_xlfn.IFS(AND($C$2=2,$C$5="I"),48.75,AND($C$2&gt;=3,$C$5="I"),65,AND($C$2&lt;=1,$C$5="I"),,$C$5="D",)</f>
        <v>#N/A</v>
      </c>
      <c r="L14" s="30"/>
      <c r="M14" s="31"/>
      <c r="O14" s="3" t="s">
        <v>9</v>
      </c>
      <c r="P14" s="8"/>
      <c r="Q14" s="13">
        <f>IF(C5="D",P14*15,P14*17)</f>
        <v>0</v>
      </c>
    </row>
    <row r="15" spans="1:17" x14ac:dyDescent="0.25">
      <c r="A15" s="28">
        <v>3</v>
      </c>
      <c r="B15" s="29"/>
      <c r="C15" s="30" t="e" cm="1">
        <f t="array" ref="C15">_xlfn.IFS(AND($C$2=3,$C$5="D"),44.25,AND($C$2&gt;=4,$C$5="D"),59,AND($C$2&lt;=2,$C$5="D"),,$C$5="I",)</f>
        <v>#N/A</v>
      </c>
      <c r="D15" s="30"/>
      <c r="E15" s="30"/>
      <c r="F15" s="47"/>
      <c r="G15" s="48"/>
      <c r="I15" s="28">
        <v>3</v>
      </c>
      <c r="J15" s="29"/>
      <c r="K15" s="30" t="e" cm="1">
        <f t="array" ref="K15">_xlfn.IFS(AND($C$2=3,$C$5="I"),48.75,AND($C$2&gt;=4,$C$5="I"),65,AND($C$2&lt;=2,$C$5="I"),,$C$5="D",)</f>
        <v>#N/A</v>
      </c>
      <c r="L15" s="30"/>
      <c r="M15" s="31"/>
      <c r="O15" s="3" t="s">
        <v>10</v>
      </c>
      <c r="P15" s="8"/>
      <c r="Q15" s="13">
        <f>IF(C5="D",P15*26,P15*29)</f>
        <v>0</v>
      </c>
    </row>
    <row r="16" spans="1:17" ht="15.75" thickBot="1" x14ac:dyDescent="0.3">
      <c r="A16" s="28">
        <v>4</v>
      </c>
      <c r="B16" s="29"/>
      <c r="C16" s="30" t="e" cm="1">
        <f t="array" ref="C16">_xlfn.IFS(AND($C$2=4,$C$5="D"),44.25,AND($C$2&gt;=4,$C$5="D"),59,AND($C$2&lt;=3,$C$5="D"),,$C$5="I",)</f>
        <v>#N/A</v>
      </c>
      <c r="D16" s="30"/>
      <c r="E16" s="30"/>
      <c r="F16" s="47"/>
      <c r="G16" s="48"/>
      <c r="I16" s="28">
        <v>4</v>
      </c>
      <c r="J16" s="29"/>
      <c r="K16" s="30" t="e" cm="1">
        <f t="array" ref="K16">_xlfn.IFS(AND($C$2=4,$C$5="I"),48.75,AND($C$2&gt;=5,$C$5="I"),65,AND($C$2&lt;=3,$C$5="I"),,$C$5="D",)</f>
        <v>#N/A</v>
      </c>
      <c r="L16" s="30"/>
      <c r="M16" s="31"/>
      <c r="O16" s="5" t="s">
        <v>31</v>
      </c>
      <c r="P16" s="9">
        <f>SUM(P13:P15)</f>
        <v>0</v>
      </c>
      <c r="Q16" s="10">
        <f>SUM(Q13:Q15)</f>
        <v>0</v>
      </c>
    </row>
    <row r="17" spans="1:19" ht="15.75" thickBot="1" x14ac:dyDescent="0.3">
      <c r="A17" s="28">
        <v>5</v>
      </c>
      <c r="B17" s="29"/>
      <c r="C17" s="30" t="e" cm="1">
        <f t="array" ref="C17">_xlfn.IFS(AND($C$2=5,$C$5="D"),44.25,AND($C$2&gt;=5,$C$5="D"),59,AND($C$2&lt;=4,$C$5="D"),,$C$5="I",)</f>
        <v>#N/A</v>
      </c>
      <c r="D17" s="30"/>
      <c r="E17" s="30"/>
      <c r="F17" s="47"/>
      <c r="G17" s="48"/>
      <c r="I17" s="28">
        <v>5</v>
      </c>
      <c r="J17" s="29"/>
      <c r="K17" s="30" t="e" cm="1">
        <f t="array" ref="K17">_xlfn.IFS(AND($C$2=5,$C$5="I"),48.75,AND($C$2&gt;=6,$C$5="I"),65,AND($C$2&lt;=4,$C$5="I"),,$C$5="D",)</f>
        <v>#N/A</v>
      </c>
      <c r="L17" s="30"/>
      <c r="M17" s="31"/>
    </row>
    <row r="18" spans="1:19" x14ac:dyDescent="0.25">
      <c r="A18" s="28">
        <v>6</v>
      </c>
      <c r="B18" s="29"/>
      <c r="C18" s="30" t="e" cm="1">
        <f t="array" ref="C18">_xlfn.IFS(AND($C$2=6,$C$5="D"),44.25,AND($C$2&gt;=6,$C$5="D"),59,AND($C$2&lt;=5,$C$5="D"),,$C$5="I",)</f>
        <v>#N/A</v>
      </c>
      <c r="D18" s="30"/>
      <c r="E18" s="30"/>
      <c r="F18" s="47"/>
      <c r="G18" s="48"/>
      <c r="H18" s="1"/>
      <c r="I18" s="28">
        <v>6</v>
      </c>
      <c r="J18" s="29"/>
      <c r="K18" s="30" t="e" cm="1">
        <f t="array" ref="K18">_xlfn.IFS(AND($C$2=6,$C$5="I"),48.75,AND($C$2&gt;=7,$C$5="I"),65,AND($C$2&lt;=5,$C$5="I"),,$C$5="D",)</f>
        <v>#N/A</v>
      </c>
      <c r="L18" s="30"/>
      <c r="M18" s="31"/>
      <c r="O18" s="35" t="s">
        <v>35</v>
      </c>
      <c r="P18" s="36"/>
      <c r="Q18" s="37"/>
    </row>
    <row r="19" spans="1:19" x14ac:dyDescent="0.25">
      <c r="A19" s="28">
        <v>7</v>
      </c>
      <c r="B19" s="29"/>
      <c r="C19" s="30" t="e" cm="1">
        <f t="array" ref="C19">_xlfn.IFS(AND($C$2=7,$C$5="D"),44.25,AND($C$2&gt;=7,$C$5="D"),59,AND($C$2&lt;=6,$C$5="D"),,$C$5="I",)</f>
        <v>#N/A</v>
      </c>
      <c r="D19" s="30"/>
      <c r="E19" s="30"/>
      <c r="F19" s="47"/>
      <c r="G19" s="48"/>
      <c r="I19" s="28">
        <v>7</v>
      </c>
      <c r="J19" s="29"/>
      <c r="K19" s="30" t="e" cm="1">
        <f t="array" ref="K19">_xlfn.IFS(AND($C$2=7,$C$5="I"),48.75,AND($C$2&gt;=8,$C$5="I"),65,AND($C$2&lt;=6,$C$5="I"),,$C$5="D",)</f>
        <v>#N/A</v>
      </c>
      <c r="L19" s="30"/>
      <c r="M19" s="31"/>
      <c r="O19" s="38"/>
      <c r="P19" s="39"/>
      <c r="Q19" s="40"/>
    </row>
    <row r="20" spans="1:19" ht="15.75" thickBot="1" x14ac:dyDescent="0.3">
      <c r="A20" s="28">
        <v>8</v>
      </c>
      <c r="B20" s="29"/>
      <c r="C20" s="30" t="e" cm="1">
        <f t="array" ref="C20">_xlfn.IFS(AND($C$2=8,$C$5="D"),44.25,AND($C$2&gt;=8,$C$5="D"),59,AND($C$2&lt;=7,$C$5="D"),,$C$5="I",)</f>
        <v>#N/A</v>
      </c>
      <c r="D20" s="30"/>
      <c r="E20" s="30"/>
      <c r="F20" s="47"/>
      <c r="G20" s="48"/>
      <c r="I20" s="28">
        <v>8</v>
      </c>
      <c r="J20" s="29"/>
      <c r="K20" s="30" t="e" cm="1">
        <f t="array" ref="K20">_xlfn.IFS(AND($C$2=8,$C$5="I"),48.75,AND($C$2&gt;=9,$C$5="I"),65,AND($C$2&lt;=7,$C$5="I"),,$C$5="D",)</f>
        <v>#N/A</v>
      </c>
      <c r="L20" s="30"/>
      <c r="M20" s="31"/>
      <c r="O20" s="41"/>
      <c r="P20" s="42"/>
      <c r="Q20" s="43"/>
    </row>
    <row r="21" spans="1:19" ht="15.75" thickBot="1" x14ac:dyDescent="0.3">
      <c r="A21" s="28">
        <v>9</v>
      </c>
      <c r="B21" s="29"/>
      <c r="C21" s="30" t="e" cm="1">
        <f t="array" ref="C21">_xlfn.IFS(AND($C$2=9,$C$5="D"),44.25,AND($C$2&gt;=9,$C$5="D"),59,AND($C$2&lt;=8,$C$5="D"),,$C$5="I",)</f>
        <v>#N/A</v>
      </c>
      <c r="D21" s="30"/>
      <c r="E21" s="30"/>
      <c r="F21" s="47"/>
      <c r="G21" s="48"/>
      <c r="I21" s="28">
        <v>9</v>
      </c>
      <c r="J21" s="29"/>
      <c r="K21" s="30" t="e" cm="1">
        <f t="array" ref="K21">_xlfn.IFS(AND($C$2=9,$C$5="I"),48.75,AND($C$2&gt;=10,$C$5="I"),65,AND($C$2&lt;=8,$C$5="I"),,$C$5="D",)</f>
        <v>#N/A</v>
      </c>
      <c r="L21" s="30"/>
      <c r="M21" s="31"/>
    </row>
    <row r="22" spans="1:19" ht="15.75" thickBot="1" x14ac:dyDescent="0.3">
      <c r="A22" s="28">
        <v>10</v>
      </c>
      <c r="B22" s="29"/>
      <c r="C22" s="30" t="e" cm="1">
        <f t="array" ref="C22">_xlfn.IFS(AND($C$2=10,$C$5="D"),44.25,AND($C$2&gt;=10,$C$5="D"),59,AND($C$2&lt;=9,$C$5="D"),,$C$5="I",)</f>
        <v>#N/A</v>
      </c>
      <c r="D22" s="30"/>
      <c r="E22" s="30"/>
      <c r="F22" s="109"/>
      <c r="G22" s="110"/>
      <c r="I22" s="28">
        <v>10</v>
      </c>
      <c r="J22" s="29"/>
      <c r="K22" s="30" t="e" cm="1">
        <f t="array" ref="K22">_xlfn.IFS(AND($C$2=10,$C$5="I"),48.75,AND($C$2&gt;=11,$C$5="I"),65,AND($C$2&lt;=9,$C$5="I"),,$C$5="D",)</f>
        <v>#N/A</v>
      </c>
      <c r="L22" s="30"/>
      <c r="M22" s="31"/>
      <c r="O22" s="68" t="s">
        <v>16</v>
      </c>
      <c r="P22" s="69"/>
      <c r="Q22" s="69"/>
      <c r="R22" s="69"/>
      <c r="S22" s="70"/>
    </row>
    <row r="23" spans="1:19" ht="15.75" thickBot="1" x14ac:dyDescent="0.3">
      <c r="A23" s="28">
        <v>11</v>
      </c>
      <c r="B23" s="29"/>
      <c r="C23" s="30" t="e" cm="1">
        <f t="array" ref="C23">_xlfn.IFS(AND($C$2=11,$C$5="D"),44.25,AND($C$2&gt;=11,$C$5="D"),59,AND($C$2&lt;=10,$C$5="D"),,$C$5="I",)</f>
        <v>#N/A</v>
      </c>
      <c r="D23" s="30"/>
      <c r="E23" s="30"/>
      <c r="F23" s="109"/>
      <c r="G23" s="110"/>
      <c r="I23" s="28">
        <v>11</v>
      </c>
      <c r="J23" s="29"/>
      <c r="K23" s="30" t="e" cm="1">
        <f t="array" ref="K23">_xlfn.IFS(AND($C$2=11,$C$5="I"),48.75,AND($C$2&gt;=12,$C$5="I"),65,AND($C$2&lt;=10,$C$5="I"),,$C$5="D",)</f>
        <v>#N/A</v>
      </c>
      <c r="L23" s="30"/>
      <c r="M23" s="31"/>
      <c r="O23" s="87" t="s">
        <v>25</v>
      </c>
      <c r="P23" s="88"/>
      <c r="Q23" s="84" t="s">
        <v>7</v>
      </c>
      <c r="R23" s="85"/>
      <c r="S23" s="86"/>
    </row>
    <row r="24" spans="1:19" x14ac:dyDescent="0.25">
      <c r="A24" s="28">
        <v>12</v>
      </c>
      <c r="B24" s="29"/>
      <c r="C24" s="30" t="e" cm="1">
        <f t="array" ref="C24">_xlfn.IFS(AND($C$2=12,$C$5="D"),44.25,AND($C$2&gt;=12,$C$5="D"),59,AND($C$2&lt;=11,$C$5="D"),,$C$5="I",)</f>
        <v>#N/A</v>
      </c>
      <c r="D24" s="30"/>
      <c r="E24" s="30"/>
      <c r="F24" s="109"/>
      <c r="G24" s="110"/>
      <c r="I24" s="28">
        <v>12</v>
      </c>
      <c r="J24" s="29"/>
      <c r="K24" s="30" t="e" cm="1">
        <f t="array" ref="K24">_xlfn.IFS(AND($C$2=12,$C$5="I"),48.75,AND($C$2&gt;=13,$C$5="I"),65,AND($C$2&lt;=11,$C$5="I"),,$C$5="D",)</f>
        <v>#N/A</v>
      </c>
      <c r="L24" s="30"/>
      <c r="M24" s="31"/>
      <c r="O24" s="92" t="s">
        <v>8</v>
      </c>
      <c r="P24" s="93"/>
      <c r="Q24" s="89"/>
      <c r="R24" s="90"/>
      <c r="S24" s="91"/>
    </row>
    <row r="25" spans="1:19" x14ac:dyDescent="0.25">
      <c r="A25" s="28">
        <v>13</v>
      </c>
      <c r="B25" s="29"/>
      <c r="C25" s="30" t="e" cm="1">
        <f t="array" ref="C25">_xlfn.IFS(AND($C$2=13,$C$5="D"),44.25,AND($C$2&gt;=13,$C$5="D"),59,AND($C$2&lt;=12,$C$5="D"),,$C$5="I",)</f>
        <v>#N/A</v>
      </c>
      <c r="D25" s="30"/>
      <c r="E25" s="30"/>
      <c r="F25" s="109"/>
      <c r="G25" s="110"/>
      <c r="I25" s="28">
        <v>13</v>
      </c>
      <c r="J25" s="29"/>
      <c r="K25" s="30" t="e" cm="1">
        <f t="array" ref="K25">_xlfn.IFS(AND($C$2=13,$C$5="I"),48.75,AND($C$2&gt;=14,$C$5="I"),65,AND($C$2&lt;=12,$C$5="I"),,$C$5="D",)</f>
        <v>#N/A</v>
      </c>
      <c r="L25" s="30"/>
      <c r="M25" s="31"/>
      <c r="O25" s="54" t="s">
        <v>9</v>
      </c>
      <c r="P25" s="55"/>
      <c r="Q25" s="76"/>
      <c r="R25" s="77"/>
      <c r="S25" s="78"/>
    </row>
    <row r="26" spans="1:19" x14ac:dyDescent="0.25">
      <c r="A26" s="28">
        <v>14</v>
      </c>
      <c r="B26" s="29"/>
      <c r="C26" s="30" t="e" cm="1">
        <f t="array" ref="C26">_xlfn.IFS(AND($C$2=14,$C$5="D"),44.25,AND($C$2&gt;=14,$C$5="D"),59,AND($C$2&lt;=13,$C$5="D"),,$C$5="I",)</f>
        <v>#N/A</v>
      </c>
      <c r="D26" s="30"/>
      <c r="E26" s="30"/>
      <c r="F26" s="109"/>
      <c r="G26" s="110"/>
      <c r="I26" s="28">
        <v>14</v>
      </c>
      <c r="J26" s="29"/>
      <c r="K26" s="30" t="e" cm="1">
        <f t="array" ref="K26">_xlfn.IFS(AND($C$2=14,$C$5="I"),48.75,AND($C$2&gt;=15,$C$5="I"),65,AND($C$2&lt;=13,$C$5="I"),,$C$5="D",)</f>
        <v>#N/A</v>
      </c>
      <c r="L26" s="30"/>
      <c r="M26" s="31"/>
      <c r="O26" s="54" t="s">
        <v>10</v>
      </c>
      <c r="P26" s="55"/>
      <c r="Q26" s="76">
        <v>0</v>
      </c>
      <c r="R26" s="77"/>
      <c r="S26" s="78"/>
    </row>
    <row r="27" spans="1:19" ht="15.75" thickBot="1" x14ac:dyDescent="0.3">
      <c r="A27" s="28">
        <v>15</v>
      </c>
      <c r="B27" s="29"/>
      <c r="C27" s="30" t="e" cm="1">
        <f t="array" ref="C27">_xlfn.IFS(AND($C$2=15,$C$5="D"),44.25,AND($C$2&gt;=15,$C$5="D"),59,AND($C$2&lt;=14,$C$5="D"),,$C$5="I",)</f>
        <v>#N/A</v>
      </c>
      <c r="D27" s="30"/>
      <c r="E27" s="30"/>
      <c r="F27" s="109"/>
      <c r="G27" s="110"/>
      <c r="I27" s="28">
        <v>15</v>
      </c>
      <c r="J27" s="29"/>
      <c r="K27" s="30" t="e" cm="1">
        <f t="array" ref="K27">_xlfn.IFS(AND($C$2=15,$C$5="I"),48.75,AND($C$2&gt;=16,$C$5="I"),65,AND($C$2&lt;=14,$C$5="I"),,$C$5="D",)</f>
        <v>#N/A</v>
      </c>
      <c r="L27" s="30"/>
      <c r="M27" s="31"/>
      <c r="O27" s="79" t="s">
        <v>11</v>
      </c>
      <c r="P27" s="80"/>
      <c r="Q27" s="44">
        <f>SUM((Q24*13),(Q25*15),(Q26*26))</f>
        <v>0</v>
      </c>
      <c r="R27" s="44"/>
      <c r="S27" s="45"/>
    </row>
    <row r="28" spans="1:19" ht="15.75" thickBot="1" x14ac:dyDescent="0.3">
      <c r="A28" s="28">
        <v>16</v>
      </c>
      <c r="B28" s="29"/>
      <c r="C28" s="30" t="e" cm="1">
        <f t="array" ref="C28">_xlfn.IFS(AND($C$2=16,$C$5="D"),44.25,AND($C$2&gt;=16,$C$5="D"),59,AND($C$2&lt;=15,$C$5="D"),,$C$5="I",)</f>
        <v>#N/A</v>
      </c>
      <c r="D28" s="30"/>
      <c r="E28" s="30"/>
      <c r="F28" s="109"/>
      <c r="G28" s="110"/>
      <c r="I28" s="28">
        <v>16</v>
      </c>
      <c r="J28" s="29"/>
      <c r="K28" s="30" t="e" cm="1">
        <f t="array" ref="K28">_xlfn.IFS(AND($C$2=16,$C$5="I"),48.75,AND($C$2&gt;=17,$C$5="I"),65,AND($C$2&lt;=15,$C$5="I"),,$C$5="D",)</f>
        <v>#N/A</v>
      </c>
      <c r="L28" s="30"/>
      <c r="M28" s="31"/>
    </row>
    <row r="29" spans="1:19" ht="15.75" thickBot="1" x14ac:dyDescent="0.3">
      <c r="A29" s="28">
        <v>17</v>
      </c>
      <c r="B29" s="29"/>
      <c r="C29" s="30" t="e" cm="1">
        <f t="array" ref="C29">_xlfn.IFS(AND($C$2=17,$C$5="D"),44.25,AND($C$2&gt;=17,$C$5="D"),59,AND($C$2&lt;=16,$C$5="D"),,$C$5="I",)</f>
        <v>#N/A</v>
      </c>
      <c r="D29" s="30"/>
      <c r="E29" s="30"/>
      <c r="F29" s="109"/>
      <c r="G29" s="110"/>
      <c r="I29" s="28">
        <v>17</v>
      </c>
      <c r="J29" s="29"/>
      <c r="K29" s="30" t="e" cm="1">
        <f t="array" ref="K29">_xlfn.IFS(AND($C$2=17,$C$5="I"),48.75,AND($C$2&gt;=18,$C$5="I"),65,AND($C$2&lt;=16,$C$5="I"),,$C$5="D",)</f>
        <v>#N/A</v>
      </c>
      <c r="L29" s="30"/>
      <c r="M29" s="31"/>
      <c r="O29" s="68" t="s">
        <v>17</v>
      </c>
      <c r="P29" s="69"/>
      <c r="Q29" s="69"/>
      <c r="R29" s="69"/>
      <c r="S29" s="70"/>
    </row>
    <row r="30" spans="1:19" ht="15.75" thickBot="1" x14ac:dyDescent="0.3">
      <c r="A30" s="28">
        <v>18</v>
      </c>
      <c r="B30" s="29"/>
      <c r="C30" s="30" t="e" cm="1">
        <f t="array" ref="C30">_xlfn.IFS(AND($C$2=18,$C$5="D"),44.25,AND($C$2&gt;=18,$C$5="D"),59,AND($C$2&lt;=17,$C$5="D"),,$C$5="I",)</f>
        <v>#N/A</v>
      </c>
      <c r="D30" s="30"/>
      <c r="E30" s="30"/>
      <c r="F30" s="109"/>
      <c r="G30" s="110"/>
      <c r="I30" s="28">
        <v>18</v>
      </c>
      <c r="J30" s="29"/>
      <c r="K30" s="30" t="e" cm="1">
        <f t="array" ref="K30">_xlfn.IFS(AND($C$2=18,$C$5="I"),48.75,AND($C$2&gt;=19,$C$5="I"),65,AND($C$2&lt;=17,$C$5="I"),,$C$5="D",)</f>
        <v>#N/A</v>
      </c>
      <c r="L30" s="30"/>
      <c r="M30" s="31"/>
      <c r="O30" s="87" t="s">
        <v>25</v>
      </c>
      <c r="P30" s="88"/>
      <c r="Q30" s="84" t="s">
        <v>7</v>
      </c>
      <c r="R30" s="85"/>
      <c r="S30" s="86"/>
    </row>
    <row r="31" spans="1:19" x14ac:dyDescent="0.25">
      <c r="A31" s="28">
        <v>19</v>
      </c>
      <c r="B31" s="29"/>
      <c r="C31" s="30" t="e" cm="1">
        <f t="array" ref="C31">_xlfn.IFS(AND($C$2=19,$C$5="D"),44.25,AND($C$2&gt;=19,$C$5="D"),59,AND($C$2&lt;=18,$C$5="D"),,$C$5="I",)</f>
        <v>#N/A</v>
      </c>
      <c r="D31" s="30"/>
      <c r="E31" s="30"/>
      <c r="F31" s="109"/>
      <c r="G31" s="110"/>
      <c r="I31" s="28">
        <v>19</v>
      </c>
      <c r="J31" s="29"/>
      <c r="K31" s="30" t="e" cm="1">
        <f t="array" ref="K31">_xlfn.IFS(AND($C$2=19,$C$5="I"),48.75,AND($C$2&gt;=20,$C$5="I"),65,AND($C$2&lt;=18,$C$5="I"),,$C$5="D",)</f>
        <v>#N/A</v>
      </c>
      <c r="L31" s="30"/>
      <c r="M31" s="31"/>
      <c r="O31" s="71" t="s">
        <v>8</v>
      </c>
      <c r="P31" s="72"/>
      <c r="Q31" s="73"/>
      <c r="R31" s="74"/>
      <c r="S31" s="75"/>
    </row>
    <row r="32" spans="1:19" x14ac:dyDescent="0.25">
      <c r="A32" s="28">
        <v>20</v>
      </c>
      <c r="B32" s="29"/>
      <c r="C32" s="30" t="e" cm="1">
        <f t="array" ref="C32">_xlfn.IFS(AND($C$2=20,$C$5="D"),44.25,AND($C$2&gt;=20,$C$5="D"),59,AND($C$2&lt;=19,$C$5="D"),,$C$5="I",)</f>
        <v>#N/A</v>
      </c>
      <c r="D32" s="30"/>
      <c r="E32" s="30"/>
      <c r="F32" s="109"/>
      <c r="G32" s="110"/>
      <c r="I32" s="28">
        <v>20</v>
      </c>
      <c r="J32" s="29"/>
      <c r="K32" s="30" t="e" cm="1">
        <f t="array" ref="K32">_xlfn.IFS(AND($C$2=20,$C$5="I"),48.75,AND($C$2&gt;=21,$C$5="I"),65,AND($C$2&lt;=19,$C$5="I"),,$C$5="D",)</f>
        <v>#N/A</v>
      </c>
      <c r="L32" s="30"/>
      <c r="M32" s="31"/>
      <c r="O32" s="54" t="s">
        <v>9</v>
      </c>
      <c r="P32" s="55"/>
      <c r="Q32" s="76"/>
      <c r="R32" s="77"/>
      <c r="S32" s="78"/>
    </row>
    <row r="33" spans="1:19" x14ac:dyDescent="0.25">
      <c r="A33" s="28">
        <v>21</v>
      </c>
      <c r="B33" s="29"/>
      <c r="C33" s="30" t="e" cm="1">
        <f t="array" ref="C33">_xlfn.IFS(AND($C$2=21,$C$5="D"),44.25,AND($C$2&gt;=21,$C$5="D"),59,AND($C$2&lt;=20,$C$5="D"),,$C$5="I",)</f>
        <v>#N/A</v>
      </c>
      <c r="D33" s="30"/>
      <c r="E33" s="30"/>
      <c r="F33" s="109"/>
      <c r="G33" s="110"/>
      <c r="I33" s="28">
        <v>21</v>
      </c>
      <c r="J33" s="29"/>
      <c r="K33" s="30" t="e" cm="1">
        <f t="array" ref="K33">_xlfn.IFS(AND($C$2=21,$C$5="I"),48.75,AND($C$2&gt;=22,$C$5="I"),65,AND($C$2&lt;=20,$C$5="I"),,$C$5="D",)</f>
        <v>#N/A</v>
      </c>
      <c r="L33" s="30"/>
      <c r="M33" s="31"/>
      <c r="O33" s="54" t="s">
        <v>10</v>
      </c>
      <c r="P33" s="55"/>
      <c r="Q33" s="76"/>
      <c r="R33" s="77"/>
      <c r="S33" s="78"/>
    </row>
    <row r="34" spans="1:19" ht="15.75" thickBot="1" x14ac:dyDescent="0.3">
      <c r="A34" s="28">
        <v>22</v>
      </c>
      <c r="B34" s="29"/>
      <c r="C34" s="30" t="e" cm="1">
        <f t="array" ref="C34">_xlfn.IFS(AND($C$2=22,$C$5="D"),44.25,AND($C$2&gt;=22,$C$5="D"),59,AND($C$2&lt;=21,$C$5="D"),,$C$5="I",)</f>
        <v>#N/A</v>
      </c>
      <c r="D34" s="30"/>
      <c r="E34" s="30"/>
      <c r="F34" s="109"/>
      <c r="G34" s="110"/>
      <c r="I34" s="28">
        <v>22</v>
      </c>
      <c r="J34" s="29"/>
      <c r="K34" s="30" t="e" cm="1">
        <f t="array" ref="K34">_xlfn.IFS(AND($C$2=22,$C$5="I"),48.75,AND($C$2&gt;=23,$C$5="I"),65,AND($C$2&lt;=21,$C$5="I"),,$C$5="D",)</f>
        <v>#N/A</v>
      </c>
      <c r="L34" s="30"/>
      <c r="M34" s="31"/>
      <c r="O34" s="63" t="s">
        <v>11</v>
      </c>
      <c r="P34" s="64"/>
      <c r="Q34" s="65">
        <f>SUM((Q31*14),(Q32*17),(Q33*29))</f>
        <v>0</v>
      </c>
      <c r="R34" s="66"/>
      <c r="S34" s="67"/>
    </row>
    <row r="35" spans="1:19" ht="15" customHeight="1" thickBot="1" x14ac:dyDescent="0.3">
      <c r="A35" s="28">
        <v>23</v>
      </c>
      <c r="B35" s="29"/>
      <c r="C35" s="30" t="e" cm="1">
        <f t="array" ref="C35">_xlfn.IFS(AND($C$2=23,$C$5="D"),44.25,AND($C$2&gt;=23,$C$5="D"),59,AND($C$2&lt;=22,$C$5="D"),,$C$5="I",)</f>
        <v>#N/A</v>
      </c>
      <c r="D35" s="30"/>
      <c r="E35" s="30"/>
      <c r="F35" s="109"/>
      <c r="G35" s="110"/>
      <c r="I35" s="28">
        <v>23</v>
      </c>
      <c r="J35" s="29"/>
      <c r="K35" s="30" t="e" cm="1">
        <f t="array" ref="K35">_xlfn.IFS(AND($C$2=23,$C$5="I"),48.75,AND($C$2&gt;=24,$C$5="I"),65,AND($C$2&lt;=22,$C$5="I"),,$C$5="D",)</f>
        <v>#N/A</v>
      </c>
      <c r="L35" s="30"/>
      <c r="M35" s="31"/>
      <c r="P35" s="15"/>
      <c r="Q35" s="15"/>
      <c r="R35" s="15"/>
      <c r="S35" s="15"/>
    </row>
    <row r="36" spans="1:19" x14ac:dyDescent="0.25">
      <c r="A36" s="28">
        <v>24</v>
      </c>
      <c r="B36" s="29"/>
      <c r="C36" s="30" t="e" cm="1">
        <f t="array" ref="C36">_xlfn.IFS(AND($C$2=24,$C$5="D"),44.25,AND($C$2&gt;=24,$C$5="D"),59,AND($C$2&lt;=23,$C$5="D"),,$C$5="I",)</f>
        <v>#N/A</v>
      </c>
      <c r="D36" s="30"/>
      <c r="E36" s="30"/>
      <c r="F36" s="109"/>
      <c r="G36" s="110"/>
      <c r="I36" s="28">
        <v>24</v>
      </c>
      <c r="J36" s="29"/>
      <c r="K36" s="30" t="e" cm="1">
        <f t="array" ref="K36">_xlfn.IFS(AND($C$2=24,$C$5="I"),48.75,AND($C$2&gt;=25,$C$5="I"),65,AND($C$2&lt;=23,$C$5="I"),,$C$5="D",)</f>
        <v>#N/A</v>
      </c>
      <c r="L36" s="30"/>
      <c r="M36" s="31"/>
      <c r="O36" s="16" t="s">
        <v>36</v>
      </c>
      <c r="P36" s="17"/>
      <c r="Q36" s="17"/>
      <c r="R36" s="17"/>
      <c r="S36" s="18"/>
    </row>
    <row r="37" spans="1:19" ht="15" customHeight="1" x14ac:dyDescent="0.25">
      <c r="A37" s="28">
        <v>25</v>
      </c>
      <c r="B37" s="29"/>
      <c r="C37" s="30" t="e" cm="1">
        <f t="array" ref="C37">_xlfn.IFS(AND($C$2=25,$C$5="D"),44.25,AND($C$2&gt;=25,$C$5="D"),59,AND($C$2&lt;=24,$C$5="D"),,$C$5="I",)</f>
        <v>#N/A</v>
      </c>
      <c r="D37" s="30"/>
      <c r="E37" s="30"/>
      <c r="F37" s="47"/>
      <c r="G37" s="48"/>
      <c r="I37" s="28">
        <v>25</v>
      </c>
      <c r="J37" s="29"/>
      <c r="K37" s="30" t="e" cm="1">
        <f t="array" ref="K37">_xlfn.IFS(AND($C$2=25,$C$5="I"),48.75,AND($C$2&gt;=26,$C$5="I"),65,AND($C$2&lt;=24,$C$5="I"),,$C$5="D",)</f>
        <v>#N/A</v>
      </c>
      <c r="L37" s="30"/>
      <c r="M37" s="31"/>
      <c r="O37" s="19"/>
      <c r="P37" s="20"/>
      <c r="Q37" s="20"/>
      <c r="R37" s="20"/>
      <c r="S37" s="21"/>
    </row>
    <row r="38" spans="1:19" ht="15.75" thickBot="1" x14ac:dyDescent="0.3">
      <c r="A38" s="79" t="s">
        <v>6</v>
      </c>
      <c r="B38" s="80"/>
      <c r="C38" s="94" t="e">
        <f>SUM(C13:E37)</f>
        <v>#N/A</v>
      </c>
      <c r="D38" s="95"/>
      <c r="E38" s="95"/>
      <c r="F38" s="44">
        <f>SUM(F13:G37)</f>
        <v>0</v>
      </c>
      <c r="G38" s="45"/>
      <c r="I38" s="79" t="s">
        <v>6</v>
      </c>
      <c r="J38" s="80"/>
      <c r="K38" s="94" t="e">
        <f>SUM(K13:M37)</f>
        <v>#N/A</v>
      </c>
      <c r="L38" s="95"/>
      <c r="M38" s="108"/>
      <c r="O38" s="19"/>
      <c r="P38" s="20"/>
      <c r="Q38" s="20"/>
      <c r="R38" s="20"/>
      <c r="S38" s="21"/>
    </row>
    <row r="39" spans="1:19" ht="15.75" thickBot="1" x14ac:dyDescent="0.3">
      <c r="O39" s="22"/>
      <c r="P39" s="23"/>
      <c r="Q39" s="23"/>
      <c r="R39" s="23"/>
      <c r="S39" s="24"/>
    </row>
    <row r="40" spans="1:19" x14ac:dyDescent="0.25">
      <c r="O40" s="15"/>
      <c r="P40" s="15"/>
      <c r="Q40" s="15"/>
      <c r="R40" s="15"/>
      <c r="S40" s="15"/>
    </row>
    <row r="68" spans="1:1" x14ac:dyDescent="0.25">
      <c r="A68" s="2" t="s">
        <v>28</v>
      </c>
    </row>
  </sheetData>
  <mergeCells count="181">
    <mergeCell ref="F22:G22"/>
    <mergeCell ref="F36:G36"/>
    <mergeCell ref="F35:G35"/>
    <mergeCell ref="F34:G34"/>
    <mergeCell ref="F33:G33"/>
    <mergeCell ref="F32:G32"/>
    <mergeCell ref="F31:G31"/>
    <mergeCell ref="F30:G30"/>
    <mergeCell ref="F29:G29"/>
    <mergeCell ref="F28:G28"/>
    <mergeCell ref="A35:B35"/>
    <mergeCell ref="A34:B34"/>
    <mergeCell ref="A33:B33"/>
    <mergeCell ref="A32:B32"/>
    <mergeCell ref="F27:G27"/>
    <mergeCell ref="F26:G26"/>
    <mergeCell ref="F25:G25"/>
    <mergeCell ref="F24:G24"/>
    <mergeCell ref="F23:G23"/>
    <mergeCell ref="C30:E30"/>
    <mergeCell ref="C29:E29"/>
    <mergeCell ref="C28:E28"/>
    <mergeCell ref="C27:E27"/>
    <mergeCell ref="C26:E26"/>
    <mergeCell ref="C25:E25"/>
    <mergeCell ref="C24:E24"/>
    <mergeCell ref="C23:E23"/>
    <mergeCell ref="C22:E22"/>
    <mergeCell ref="A30:B30"/>
    <mergeCell ref="A29:B29"/>
    <mergeCell ref="A28:B28"/>
    <mergeCell ref="A27:B27"/>
    <mergeCell ref="I38:J38"/>
    <mergeCell ref="K38:M38"/>
    <mergeCell ref="I20:J20"/>
    <mergeCell ref="K20:M20"/>
    <mergeCell ref="I21:J21"/>
    <mergeCell ref="K21:M21"/>
    <mergeCell ref="I29:J29"/>
    <mergeCell ref="I28:J28"/>
    <mergeCell ref="I36:J36"/>
    <mergeCell ref="A26:B26"/>
    <mergeCell ref="A25:B25"/>
    <mergeCell ref="A24:B24"/>
    <mergeCell ref="A23:B23"/>
    <mergeCell ref="A22:B22"/>
    <mergeCell ref="C36:E36"/>
    <mergeCell ref="C35:E35"/>
    <mergeCell ref="C34:E34"/>
    <mergeCell ref="C33:E33"/>
    <mergeCell ref="C32:E32"/>
    <mergeCell ref="C31:E31"/>
    <mergeCell ref="C38:E38"/>
    <mergeCell ref="A38:B38"/>
    <mergeCell ref="G2:O4"/>
    <mergeCell ref="G6:O7"/>
    <mergeCell ref="I19:J19"/>
    <mergeCell ref="K19:M19"/>
    <mergeCell ref="I16:J16"/>
    <mergeCell ref="K16:M16"/>
    <mergeCell ref="I37:J37"/>
    <mergeCell ref="K37:M37"/>
    <mergeCell ref="I17:J17"/>
    <mergeCell ref="K17:M17"/>
    <mergeCell ref="I15:J15"/>
    <mergeCell ref="K15:M15"/>
    <mergeCell ref="I12:J12"/>
    <mergeCell ref="K12:M12"/>
    <mergeCell ref="I13:J13"/>
    <mergeCell ref="K13:M13"/>
    <mergeCell ref="I14:J14"/>
    <mergeCell ref="K14:M14"/>
    <mergeCell ref="I35:J35"/>
    <mergeCell ref="I34:J34"/>
    <mergeCell ref="I33:J33"/>
    <mergeCell ref="I32:J32"/>
    <mergeCell ref="O27:P27"/>
    <mergeCell ref="O29:S29"/>
    <mergeCell ref="Q30:S30"/>
    <mergeCell ref="O30:P30"/>
    <mergeCell ref="O33:P33"/>
    <mergeCell ref="Q33:S33"/>
    <mergeCell ref="C20:E20"/>
    <mergeCell ref="A37:B37"/>
    <mergeCell ref="A21:B21"/>
    <mergeCell ref="A20:B20"/>
    <mergeCell ref="F37:G37"/>
    <mergeCell ref="F21:G21"/>
    <mergeCell ref="F20:G20"/>
    <mergeCell ref="Q23:S23"/>
    <mergeCell ref="O23:P23"/>
    <mergeCell ref="Q26:S26"/>
    <mergeCell ref="Q25:S25"/>
    <mergeCell ref="O26:P26"/>
    <mergeCell ref="O25:P25"/>
    <mergeCell ref="Q24:S24"/>
    <mergeCell ref="O24:P24"/>
    <mergeCell ref="I31:J31"/>
    <mergeCell ref="I30:J30"/>
    <mergeCell ref="A31:B31"/>
    <mergeCell ref="C7:E7"/>
    <mergeCell ref="A7:B7"/>
    <mergeCell ref="A6:B6"/>
    <mergeCell ref="C6:E6"/>
    <mergeCell ref="O34:P34"/>
    <mergeCell ref="Q34:S34"/>
    <mergeCell ref="O22:S22"/>
    <mergeCell ref="O31:P31"/>
    <mergeCell ref="Q31:S31"/>
    <mergeCell ref="O32:P32"/>
    <mergeCell ref="Q32:S32"/>
    <mergeCell ref="I18:J18"/>
    <mergeCell ref="K18:M18"/>
    <mergeCell ref="F18:G18"/>
    <mergeCell ref="F17:G17"/>
    <mergeCell ref="F16:G16"/>
    <mergeCell ref="F15:G15"/>
    <mergeCell ref="F14:G14"/>
    <mergeCell ref="A9:B9"/>
    <mergeCell ref="C9:E9"/>
    <mergeCell ref="F13:G13"/>
    <mergeCell ref="A13:B13"/>
    <mergeCell ref="A19:B19"/>
    <mergeCell ref="C13:E13"/>
    <mergeCell ref="A1:E1"/>
    <mergeCell ref="A5:B5"/>
    <mergeCell ref="A4:B4"/>
    <mergeCell ref="A3:B3"/>
    <mergeCell ref="A2:B2"/>
    <mergeCell ref="C5:E5"/>
    <mergeCell ref="C4:E4"/>
    <mergeCell ref="C3:E3"/>
    <mergeCell ref="C2:E2"/>
    <mergeCell ref="A8:B8"/>
    <mergeCell ref="C8:E8"/>
    <mergeCell ref="O18:Q20"/>
    <mergeCell ref="F38:G38"/>
    <mergeCell ref="C37:E37"/>
    <mergeCell ref="C21:E21"/>
    <mergeCell ref="I11:M11"/>
    <mergeCell ref="A11:G11"/>
    <mergeCell ref="F12:G12"/>
    <mergeCell ref="A18:B18"/>
    <mergeCell ref="F19:G19"/>
    <mergeCell ref="C19:E19"/>
    <mergeCell ref="C18:E18"/>
    <mergeCell ref="C17:E17"/>
    <mergeCell ref="C16:E16"/>
    <mergeCell ref="A12:B12"/>
    <mergeCell ref="C12:E12"/>
    <mergeCell ref="A17:B17"/>
    <mergeCell ref="A16:B16"/>
    <mergeCell ref="C15:E15"/>
    <mergeCell ref="C14:E14"/>
    <mergeCell ref="A15:B15"/>
    <mergeCell ref="A14:B14"/>
    <mergeCell ref="A36:B36"/>
    <mergeCell ref="O36:S39"/>
    <mergeCell ref="O11:Q11"/>
    <mergeCell ref="I27:J27"/>
    <mergeCell ref="I26:J26"/>
    <mergeCell ref="I25:J25"/>
    <mergeCell ref="I24:J24"/>
    <mergeCell ref="I23:J23"/>
    <mergeCell ref="I22:J22"/>
    <mergeCell ref="K36:M36"/>
    <mergeCell ref="K35:M35"/>
    <mergeCell ref="K34:M34"/>
    <mergeCell ref="K33:M33"/>
    <mergeCell ref="K32:M32"/>
    <mergeCell ref="K31:M31"/>
    <mergeCell ref="K30:M30"/>
    <mergeCell ref="K29:M29"/>
    <mergeCell ref="K28:M28"/>
    <mergeCell ref="K27:M27"/>
    <mergeCell ref="K26:M26"/>
    <mergeCell ref="K25:M25"/>
    <mergeCell ref="K24:M24"/>
    <mergeCell ref="K23:M23"/>
    <mergeCell ref="K22:M22"/>
    <mergeCell ref="Q27:S27"/>
  </mergeCells>
  <pageMargins left="0.7" right="0.7" top="0.75" bottom="0.75" header="0.3" footer="0.3"/>
  <pageSetup scale="3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DDF87-43C5-4A36-BBBA-5ACD5B5195E4}">
  <sheetPr codeName="Sheet4">
    <pageSetUpPr fitToPage="1"/>
  </sheetPr>
  <dimension ref="A1:S57"/>
  <sheetViews>
    <sheetView zoomScaleNormal="100" workbookViewId="0">
      <selection activeCell="C9" sqref="C9:E9"/>
    </sheetView>
  </sheetViews>
  <sheetFormatPr defaultRowHeight="15" x14ac:dyDescent="0.25"/>
  <cols>
    <col min="2" max="2" width="19" customWidth="1"/>
    <col min="5" max="5" width="21.7109375" customWidth="1"/>
    <col min="9" max="9" width="12" customWidth="1"/>
    <col min="10" max="10" width="14.42578125" customWidth="1"/>
    <col min="13" max="13" width="16.85546875" customWidth="1"/>
    <col min="15" max="15" width="23.5703125" bestFit="1" customWidth="1"/>
    <col min="16" max="16" width="16.42578125" bestFit="1" customWidth="1"/>
    <col min="17" max="17" width="22.140625" bestFit="1" customWidth="1"/>
  </cols>
  <sheetData>
    <row r="1" spans="1:17" ht="24" thickBot="1" x14ac:dyDescent="0.4">
      <c r="A1" s="51" t="s">
        <v>0</v>
      </c>
      <c r="B1" s="52"/>
      <c r="C1" s="52"/>
      <c r="D1" s="52"/>
      <c r="E1" s="53"/>
    </row>
    <row r="2" spans="1:17" ht="15" customHeight="1" x14ac:dyDescent="0.25">
      <c r="A2" s="28" t="s">
        <v>1</v>
      </c>
      <c r="B2" s="29"/>
      <c r="C2" s="61">
        <v>4</v>
      </c>
      <c r="D2" s="61"/>
      <c r="E2" s="62"/>
      <c r="G2" s="96" t="s">
        <v>27</v>
      </c>
      <c r="H2" s="97"/>
      <c r="I2" s="97"/>
      <c r="J2" s="97"/>
      <c r="K2" s="97"/>
      <c r="L2" s="97"/>
      <c r="M2" s="97"/>
      <c r="N2" s="97"/>
      <c r="O2" s="98"/>
    </row>
    <row r="3" spans="1:17" x14ac:dyDescent="0.25">
      <c r="A3" s="28" t="s">
        <v>2</v>
      </c>
      <c r="B3" s="29"/>
      <c r="C3" s="60" t="s">
        <v>19</v>
      </c>
      <c r="D3" s="29"/>
      <c r="E3" s="46"/>
      <c r="G3" s="99"/>
      <c r="H3" s="100"/>
      <c r="I3" s="100"/>
      <c r="J3" s="100"/>
      <c r="K3" s="100"/>
      <c r="L3" s="100"/>
      <c r="M3" s="100"/>
      <c r="N3" s="100"/>
      <c r="O3" s="101"/>
    </row>
    <row r="4" spans="1:17" ht="15.75" thickBot="1" x14ac:dyDescent="0.3">
      <c r="A4" s="28" t="s">
        <v>3</v>
      </c>
      <c r="B4" s="29"/>
      <c r="C4" s="59" t="s">
        <v>22</v>
      </c>
      <c r="D4" s="29"/>
      <c r="E4" s="46"/>
      <c r="G4" s="102"/>
      <c r="H4" s="103"/>
      <c r="I4" s="103"/>
      <c r="J4" s="103"/>
      <c r="K4" s="103"/>
      <c r="L4" s="103"/>
      <c r="M4" s="103"/>
      <c r="N4" s="103"/>
      <c r="O4" s="104"/>
    </row>
    <row r="5" spans="1:17" ht="15.75" thickBot="1" x14ac:dyDescent="0.3">
      <c r="A5" s="54" t="s">
        <v>14</v>
      </c>
      <c r="B5" s="55"/>
      <c r="C5" s="56" t="s">
        <v>23</v>
      </c>
      <c r="D5" s="57"/>
      <c r="E5" s="58"/>
    </row>
    <row r="6" spans="1:17" x14ac:dyDescent="0.25">
      <c r="A6" s="54" t="s">
        <v>21</v>
      </c>
      <c r="B6" s="55"/>
      <c r="C6" s="32">
        <f>IF(C5="D",C30,Q28)</f>
        <v>26</v>
      </c>
      <c r="D6" s="33"/>
      <c r="E6" s="34"/>
      <c r="G6" s="96" t="s">
        <v>26</v>
      </c>
      <c r="H6" s="97"/>
      <c r="I6" s="97"/>
      <c r="J6" s="97"/>
      <c r="K6" s="97"/>
      <c r="L6" s="97"/>
      <c r="M6" s="97"/>
      <c r="N6" s="97"/>
      <c r="O6" s="98"/>
    </row>
    <row r="7" spans="1:17" ht="15.75" thickBot="1" x14ac:dyDescent="0.3">
      <c r="A7" s="28" t="s">
        <v>34</v>
      </c>
      <c r="B7" s="29"/>
      <c r="C7" s="32">
        <f>Q16</f>
        <v>0</v>
      </c>
      <c r="D7" s="33"/>
      <c r="E7" s="34"/>
      <c r="G7" s="102"/>
      <c r="H7" s="103"/>
      <c r="I7" s="103"/>
      <c r="J7" s="103"/>
      <c r="K7" s="103"/>
      <c r="L7" s="103"/>
      <c r="M7" s="103"/>
      <c r="N7" s="103"/>
      <c r="O7" s="104"/>
    </row>
    <row r="8" spans="1:17" x14ac:dyDescent="0.25">
      <c r="A8" s="28" t="s">
        <v>20</v>
      </c>
      <c r="B8" s="29"/>
      <c r="C8" s="32">
        <f>IF(C5="D",(C23+C7-C6),(K38+C7-C6))</f>
        <v>180.5</v>
      </c>
      <c r="D8" s="33"/>
      <c r="E8" s="34"/>
      <c r="G8" s="7"/>
      <c r="H8" s="7"/>
      <c r="I8" s="7"/>
      <c r="J8" s="7"/>
      <c r="K8" s="7"/>
      <c r="L8" s="7"/>
      <c r="M8" s="7"/>
      <c r="N8" s="7"/>
      <c r="O8" s="7"/>
    </row>
    <row r="9" spans="1:17" ht="15.75" thickBot="1" x14ac:dyDescent="0.3">
      <c r="A9" s="79" t="s">
        <v>4</v>
      </c>
      <c r="B9" s="80"/>
      <c r="C9" s="129" cm="1">
        <f t="array" ref="C9">_xlfn.IFS(C5="D",MIN(C8,F23),C5="I",K38+Q16-Q28)</f>
        <v>180.5</v>
      </c>
      <c r="D9" s="129"/>
      <c r="E9" s="130"/>
    </row>
    <row r="10" spans="1:17" ht="15.75" thickBot="1" x14ac:dyDescent="0.3"/>
    <row r="11" spans="1:17" x14ac:dyDescent="0.25">
      <c r="A11" s="25" t="s">
        <v>15</v>
      </c>
      <c r="B11" s="26"/>
      <c r="C11" s="26"/>
      <c r="D11" s="26"/>
      <c r="E11" s="26"/>
      <c r="F11" s="26"/>
      <c r="G11" s="27"/>
      <c r="I11" s="25" t="s">
        <v>18</v>
      </c>
      <c r="J11" s="26"/>
      <c r="K11" s="26"/>
      <c r="L11" s="26"/>
      <c r="M11" s="27"/>
      <c r="O11" s="25" t="s">
        <v>30</v>
      </c>
      <c r="P11" s="26"/>
      <c r="Q11" s="27"/>
    </row>
    <row r="12" spans="1:17" ht="15.75" thickBot="1" x14ac:dyDescent="0.3">
      <c r="A12" s="49" t="s">
        <v>5</v>
      </c>
      <c r="B12" s="50"/>
      <c r="C12" s="50" t="s">
        <v>12</v>
      </c>
      <c r="D12" s="50"/>
      <c r="E12" s="50"/>
      <c r="F12" s="29" t="s">
        <v>13</v>
      </c>
      <c r="G12" s="46"/>
      <c r="I12" s="49" t="s">
        <v>5</v>
      </c>
      <c r="J12" s="50"/>
      <c r="K12" s="50" t="s">
        <v>12</v>
      </c>
      <c r="L12" s="50"/>
      <c r="M12" s="105"/>
      <c r="O12" s="5" t="s">
        <v>29</v>
      </c>
      <c r="P12" s="6" t="s">
        <v>33</v>
      </c>
      <c r="Q12" s="11" t="s">
        <v>32</v>
      </c>
    </row>
    <row r="13" spans="1:17" x14ac:dyDescent="0.25">
      <c r="A13" s="28">
        <v>1</v>
      </c>
      <c r="B13" s="29"/>
      <c r="C13" s="83">
        <v>44.25</v>
      </c>
      <c r="D13" s="83"/>
      <c r="E13" s="83"/>
      <c r="F13" s="47">
        <v>20</v>
      </c>
      <c r="G13" s="47"/>
      <c r="I13" s="28">
        <v>1</v>
      </c>
      <c r="J13" s="29"/>
      <c r="K13" s="106">
        <v>48.75</v>
      </c>
      <c r="L13" s="106"/>
      <c r="M13" s="107"/>
      <c r="O13" s="4" t="s">
        <v>8</v>
      </c>
      <c r="P13" s="14"/>
      <c r="Q13" s="12">
        <f>IF(C5="D",P13*13,P13*14)</f>
        <v>0</v>
      </c>
    </row>
    <row r="14" spans="1:17" x14ac:dyDescent="0.25">
      <c r="A14" s="28">
        <v>2</v>
      </c>
      <c r="B14" s="29"/>
      <c r="C14" s="30" cm="1">
        <f t="array" ref="C14">_xlfn.IFS(AND($C$2=2,$C$5="D"),44.25,AND($C$2&gt;=3,$C$5="D"),59,AND($C$2&lt;=1,$C$5="D"),,$C$5="I",)</f>
        <v>59</v>
      </c>
      <c r="D14" s="30"/>
      <c r="E14" s="30"/>
      <c r="F14" s="47">
        <v>75</v>
      </c>
      <c r="G14" s="47"/>
      <c r="I14" s="28">
        <v>2</v>
      </c>
      <c r="J14" s="29"/>
      <c r="K14" s="30" cm="1">
        <f t="array" ref="K14">_xlfn.IFS(AND($C$2=2,$C$5="I"),48.75,AND($C$2&gt;=3,$C$5="I"),65,AND($C$2&lt;=1,$C$5="I"),,$C$5="D",)</f>
        <v>0</v>
      </c>
      <c r="L14" s="30"/>
      <c r="M14" s="31"/>
      <c r="O14" s="3" t="s">
        <v>9</v>
      </c>
      <c r="P14" s="8"/>
      <c r="Q14" s="13">
        <f>IF(C5="D",P14*15,P14*17)</f>
        <v>0</v>
      </c>
    </row>
    <row r="15" spans="1:17" x14ac:dyDescent="0.25">
      <c r="A15" s="28">
        <v>3</v>
      </c>
      <c r="B15" s="29"/>
      <c r="C15" s="30" cm="1">
        <f t="array" ref="C15">_xlfn.IFS(AND($C$2=3,$C$5="D"),44.25,AND($C$2&gt;=4,$C$5="D"),59,AND($C$2&lt;=2,$C$5="D"),,$C$5="I",)</f>
        <v>59</v>
      </c>
      <c r="D15" s="30"/>
      <c r="E15" s="30"/>
      <c r="F15" s="47">
        <v>50</v>
      </c>
      <c r="G15" s="47"/>
      <c r="I15" s="28">
        <v>3</v>
      </c>
      <c r="J15" s="29"/>
      <c r="K15" s="30" cm="1">
        <f t="array" ref="K15">_xlfn.IFS(AND($C$2=3,$C$5="I"),48.75,AND($C$2&gt;=4,$C$5="I"),65,AND($C$2&lt;=2,$C$5="I"),,$C$5="D",)</f>
        <v>0</v>
      </c>
      <c r="L15" s="30"/>
      <c r="M15" s="31"/>
      <c r="O15" s="3" t="s">
        <v>10</v>
      </c>
      <c r="P15" s="8"/>
      <c r="Q15" s="13">
        <f>IF(C5="D",P15*26,P15*29)</f>
        <v>0</v>
      </c>
    </row>
    <row r="16" spans="1:17" ht="15.75" thickBot="1" x14ac:dyDescent="0.3">
      <c r="A16" s="28">
        <v>4</v>
      </c>
      <c r="B16" s="29"/>
      <c r="C16" s="30" cm="1">
        <f t="array" ref="C16">_xlfn.IFS(AND($C$2=4,$C$5="D"),44.25,AND($C$2&gt;=4,$C$5="D"),59,AND($C$2&lt;=3,$C$5="D"),,$C$5="I",)</f>
        <v>44.25</v>
      </c>
      <c r="D16" s="30"/>
      <c r="E16" s="30"/>
      <c r="F16" s="47">
        <v>90</v>
      </c>
      <c r="G16" s="47"/>
      <c r="I16" s="28">
        <v>4</v>
      </c>
      <c r="J16" s="29"/>
      <c r="K16" s="30" cm="1">
        <f t="array" ref="K16">_xlfn.IFS(AND($C$2=4,$C$5="I"),48.75,AND($C$2&gt;=5,$C$5="I"),65,AND($C$2&lt;=3,$C$5="I"),,$C$5="D",)</f>
        <v>0</v>
      </c>
      <c r="L16" s="30"/>
      <c r="M16" s="31"/>
      <c r="O16" s="5" t="s">
        <v>31</v>
      </c>
      <c r="P16" s="9">
        <f>SUM(P13:P15)</f>
        <v>0</v>
      </c>
      <c r="Q16" s="10">
        <f>SUM(Q13:Q15)</f>
        <v>0</v>
      </c>
    </row>
    <row r="17" spans="1:19" ht="15.75" thickBot="1" x14ac:dyDescent="0.3">
      <c r="A17" s="28">
        <v>5</v>
      </c>
      <c r="B17" s="29"/>
      <c r="C17" s="30" cm="1">
        <f t="array" ref="C17">_xlfn.IFS(AND($C$2=5,$C$5="D"),44.25,AND($C$2&gt;=5,$C$5="D"),59,AND($C$2&lt;=4,$C$5="D"),,$C$5="I",)</f>
        <v>0</v>
      </c>
      <c r="D17" s="30"/>
      <c r="E17" s="30"/>
      <c r="F17" s="47"/>
      <c r="G17" s="48"/>
      <c r="I17" s="28">
        <v>5</v>
      </c>
      <c r="J17" s="29"/>
      <c r="K17" s="30" cm="1">
        <f t="array" ref="K17">_xlfn.IFS(AND($C$2=5,$C$5="I"),48.75,AND($C$2&gt;=6,$C$5="I"),65,AND($C$2&lt;=4,$C$5="I"),,$C$5="D",)</f>
        <v>0</v>
      </c>
      <c r="L17" s="30"/>
      <c r="M17" s="31"/>
    </row>
    <row r="18" spans="1:19" x14ac:dyDescent="0.25">
      <c r="A18" s="28">
        <v>6</v>
      </c>
      <c r="B18" s="29"/>
      <c r="C18" s="30" cm="1">
        <f t="array" ref="C18">_xlfn.IFS(AND($C$2=6,$C$5="D"),44.25,AND($C$2&gt;=6,$C$5="D"),59,AND($C$2&lt;=5,$C$5="D"),,$C$5="I",)</f>
        <v>0</v>
      </c>
      <c r="D18" s="30"/>
      <c r="E18" s="30"/>
      <c r="F18" s="47"/>
      <c r="G18" s="48"/>
      <c r="H18" s="1"/>
      <c r="I18" s="28">
        <v>6</v>
      </c>
      <c r="J18" s="29"/>
      <c r="K18" s="30" cm="1">
        <f t="array" ref="K18">_xlfn.IFS(AND($C$2=6,$C$5="I"),48.75,AND($C$2&gt;=7,$C$5="I"),65,AND($C$2&lt;=5,$C$5="I"),,$C$5="D",)</f>
        <v>0</v>
      </c>
      <c r="L18" s="30"/>
      <c r="M18" s="31"/>
      <c r="O18" s="35" t="s">
        <v>35</v>
      </c>
      <c r="P18" s="36"/>
      <c r="Q18" s="37"/>
    </row>
    <row r="19" spans="1:19" x14ac:dyDescent="0.25">
      <c r="A19" s="28">
        <v>7</v>
      </c>
      <c r="B19" s="29"/>
      <c r="C19" s="30" cm="1">
        <f t="array" ref="C19">_xlfn.IFS(AND($C$2=7,$C$5="D"),44.25,AND($C$2&gt;=7,$C$5="D"),59,AND($C$2&lt;=6,$C$5="D"),,$C$5="I",)</f>
        <v>0</v>
      </c>
      <c r="D19" s="30"/>
      <c r="E19" s="30"/>
      <c r="F19" s="47"/>
      <c r="G19" s="48"/>
      <c r="I19" s="28">
        <v>7</v>
      </c>
      <c r="J19" s="29"/>
      <c r="K19" s="30" cm="1">
        <f t="array" ref="K19">_xlfn.IFS(AND($C$2=7,$C$5="I"),48.75,AND($C$2&gt;=8,$C$5="I"),65,AND($C$2&lt;=6,$C$5="I"),,$C$5="D",)</f>
        <v>0</v>
      </c>
      <c r="L19" s="30"/>
      <c r="M19" s="31"/>
      <c r="O19" s="38"/>
      <c r="P19" s="39"/>
      <c r="Q19" s="40"/>
    </row>
    <row r="20" spans="1:19" ht="15.75" thickBot="1" x14ac:dyDescent="0.3">
      <c r="A20" s="28">
        <v>8</v>
      </c>
      <c r="B20" s="29"/>
      <c r="C20" s="30" cm="1">
        <f t="array" ref="C20">_xlfn.IFS(AND($C$2=8,$C$5="D"),44.25,AND($C$2&gt;=8,$C$5="D"),59,AND($C$2&lt;=7,$C$5="D"),,$C$5="I",)</f>
        <v>0</v>
      </c>
      <c r="D20" s="30"/>
      <c r="E20" s="30"/>
      <c r="F20" s="47"/>
      <c r="G20" s="48"/>
      <c r="I20" s="28">
        <v>8</v>
      </c>
      <c r="J20" s="29"/>
      <c r="K20" s="30" cm="1">
        <f t="array" ref="K20">_xlfn.IFS(AND($C$2=8,$C$5="I"),48.75,AND($C$2&gt;=9,$C$5="I"),65,AND($C$2&lt;=7,$C$5="I"),,$C$5="D",)</f>
        <v>0</v>
      </c>
      <c r="L20" s="30"/>
      <c r="M20" s="31"/>
      <c r="O20" s="41"/>
      <c r="P20" s="42"/>
      <c r="Q20" s="43"/>
    </row>
    <row r="21" spans="1:19" x14ac:dyDescent="0.25">
      <c r="A21" s="28">
        <v>9</v>
      </c>
      <c r="B21" s="29"/>
      <c r="C21" s="30" cm="1">
        <f t="array" ref="C21">_xlfn.IFS(AND($C$2=9,$C$5="D"),44.25,AND($C$2&gt;=9,$C$5="D"),59,AND($C$2&lt;=8,$C$5="D"),,$C$5="I",)</f>
        <v>0</v>
      </c>
      <c r="D21" s="30"/>
      <c r="E21" s="30"/>
      <c r="F21" s="47"/>
      <c r="G21" s="48"/>
      <c r="I21" s="28">
        <v>9</v>
      </c>
      <c r="J21" s="29"/>
      <c r="K21" s="30" cm="1">
        <f t="array" ref="K21">_xlfn.IFS(AND($C$2=9,$C$5="I"),48.75,AND($C$2&gt;=10,$C$5="I"),65,AND($C$2&lt;=8,$C$5="I"),,$C$5="D",)</f>
        <v>0</v>
      </c>
      <c r="L21" s="30"/>
      <c r="M21" s="31"/>
    </row>
    <row r="22" spans="1:19" ht="15.75" thickBot="1" x14ac:dyDescent="0.3">
      <c r="A22" s="28">
        <v>10</v>
      </c>
      <c r="B22" s="29"/>
      <c r="C22" s="30" cm="1">
        <f t="array" ref="C22">_xlfn.IFS(AND($C$2=10,$C$5="D"),44.25,AND($C$2&gt;=10,$C$5="D"),59,AND($C$2&lt;=9,$C$5="D"),,$C$5="I",)</f>
        <v>0</v>
      </c>
      <c r="D22" s="30"/>
      <c r="E22" s="30"/>
      <c r="F22" s="47"/>
      <c r="G22" s="48"/>
      <c r="I22" s="28">
        <v>10</v>
      </c>
      <c r="J22" s="29"/>
      <c r="K22" s="30" cm="1">
        <f t="array" ref="K22">_xlfn.IFS(AND($C$2=10,$C$5="I"),48.75,AND($C$2&gt;=11,$C$5="I"),65,AND($C$2&lt;=9,$C$5="I"),,$C$5="D",)</f>
        <v>0</v>
      </c>
      <c r="L22" s="30"/>
      <c r="M22" s="31"/>
    </row>
    <row r="23" spans="1:19" ht="15.75" thickBot="1" x14ac:dyDescent="0.3">
      <c r="A23" s="79" t="s">
        <v>6</v>
      </c>
      <c r="B23" s="80"/>
      <c r="C23" s="94">
        <f>SUM(C13:E22)</f>
        <v>206.5</v>
      </c>
      <c r="D23" s="95"/>
      <c r="E23" s="95"/>
      <c r="F23" s="44">
        <f>SUM(F13:G22)</f>
        <v>235</v>
      </c>
      <c r="G23" s="45"/>
      <c r="I23" s="28">
        <v>11</v>
      </c>
      <c r="J23" s="29"/>
      <c r="K23" s="30" cm="1">
        <f t="array" ref="K23">_xlfn.IFS(AND($C$2=11,$C$5="I"),48.75,AND($C$2&gt;=12,$C$5="I"),65,AND($C$2&lt;=10,$C$5="I"),,$C$5="D",)</f>
        <v>0</v>
      </c>
      <c r="L23" s="30"/>
      <c r="M23" s="31"/>
      <c r="O23" s="68" t="s">
        <v>17</v>
      </c>
      <c r="P23" s="69"/>
      <c r="Q23" s="69"/>
      <c r="R23" s="69"/>
      <c r="S23" s="70"/>
    </row>
    <row r="24" spans="1:19" ht="15.75" thickBot="1" x14ac:dyDescent="0.3">
      <c r="I24" s="28">
        <v>12</v>
      </c>
      <c r="J24" s="29"/>
      <c r="K24" s="30" cm="1">
        <f t="array" ref="K24">_xlfn.IFS(AND($C$2=12,$C$5="I"),48.75,AND($C$2&gt;=13,$C$5="I"),65,AND($C$2&lt;=11,$C$5="I"),,$C$5="D",)</f>
        <v>0</v>
      </c>
      <c r="L24" s="30"/>
      <c r="M24" s="31"/>
      <c r="O24" s="87" t="s">
        <v>25</v>
      </c>
      <c r="P24" s="88"/>
      <c r="Q24" s="84" t="s">
        <v>7</v>
      </c>
      <c r="R24" s="85"/>
      <c r="S24" s="86"/>
    </row>
    <row r="25" spans="1:19" ht="15.75" thickBot="1" x14ac:dyDescent="0.3">
      <c r="A25" s="68" t="s">
        <v>16</v>
      </c>
      <c r="B25" s="69"/>
      <c r="C25" s="69"/>
      <c r="D25" s="69"/>
      <c r="E25" s="70"/>
      <c r="I25" s="28">
        <v>13</v>
      </c>
      <c r="J25" s="29"/>
      <c r="K25" s="30" cm="1">
        <f t="array" ref="K25">_xlfn.IFS(AND($C$2=13,$C$5="I"),48.75,AND($C$2&gt;=14,$C$5="I"),65,AND($C$2&lt;=12,$C$5="I"),,$C$5="D",)</f>
        <v>0</v>
      </c>
      <c r="L25" s="30"/>
      <c r="M25" s="31"/>
      <c r="O25" s="71" t="s">
        <v>8</v>
      </c>
      <c r="P25" s="72"/>
      <c r="Q25" s="73"/>
      <c r="R25" s="74"/>
      <c r="S25" s="75"/>
    </row>
    <row r="26" spans="1:19" ht="15.75" thickBot="1" x14ac:dyDescent="0.3">
      <c r="A26" s="126" t="s">
        <v>25</v>
      </c>
      <c r="B26" s="127"/>
      <c r="C26" s="127" t="s">
        <v>7</v>
      </c>
      <c r="D26" s="127"/>
      <c r="E26" s="128"/>
      <c r="I26" s="28">
        <v>14</v>
      </c>
      <c r="J26" s="29"/>
      <c r="K26" s="30" cm="1">
        <f t="array" ref="K26">_xlfn.IFS(AND($C$2=14,$C$5="I"),48.75,AND($C$2&gt;=15,$C$5="I"),65,AND($C$2&lt;=13,$C$5="I"),,$C$5="D",)</f>
        <v>0</v>
      </c>
      <c r="L26" s="30"/>
      <c r="M26" s="31"/>
      <c r="O26" s="54" t="s">
        <v>9</v>
      </c>
      <c r="P26" s="55"/>
      <c r="Q26" s="76"/>
      <c r="R26" s="77"/>
      <c r="S26" s="78"/>
    </row>
    <row r="27" spans="1:19" x14ac:dyDescent="0.25">
      <c r="A27" s="122" t="s">
        <v>8</v>
      </c>
      <c r="B27" s="123"/>
      <c r="C27" s="124"/>
      <c r="D27" s="124"/>
      <c r="E27" s="125"/>
      <c r="I27" s="28">
        <v>15</v>
      </c>
      <c r="J27" s="29"/>
      <c r="K27" s="30" cm="1">
        <f t="array" ref="K27">_xlfn.IFS(AND($C$2=15,$C$5="I"),48.75,AND($C$2&gt;=16,$C$5="I"),65,AND($C$2&lt;=14,$C$5="I"),,$C$5="D",)</f>
        <v>0</v>
      </c>
      <c r="L27" s="30"/>
      <c r="M27" s="31"/>
      <c r="O27" s="54" t="s">
        <v>10</v>
      </c>
      <c r="P27" s="55"/>
      <c r="Q27" s="76"/>
      <c r="R27" s="77"/>
      <c r="S27" s="78"/>
    </row>
    <row r="28" spans="1:19" ht="15.75" thickBot="1" x14ac:dyDescent="0.3">
      <c r="A28" s="28" t="s">
        <v>9</v>
      </c>
      <c r="B28" s="29"/>
      <c r="C28" s="120"/>
      <c r="D28" s="120"/>
      <c r="E28" s="121"/>
      <c r="I28" s="28">
        <v>16</v>
      </c>
      <c r="J28" s="29"/>
      <c r="K28" s="30" cm="1">
        <f t="array" ref="K28">_xlfn.IFS(AND($C$2=16,$C$5="I"),48.75,AND($C$2&gt;=17,$C$5="I"),65,AND($C$2&lt;=15,$C$5="I"),,$C$5="D",)</f>
        <v>0</v>
      </c>
      <c r="L28" s="30"/>
      <c r="M28" s="31"/>
      <c r="O28" s="63" t="s">
        <v>11</v>
      </c>
      <c r="P28" s="64"/>
      <c r="Q28" s="65">
        <f>SUM((Q25*14),(Q26*17),(Q27*29))</f>
        <v>0</v>
      </c>
      <c r="R28" s="66"/>
      <c r="S28" s="67"/>
    </row>
    <row r="29" spans="1:19" ht="15.75" thickBot="1" x14ac:dyDescent="0.3">
      <c r="A29" s="28" t="s">
        <v>10</v>
      </c>
      <c r="B29" s="29"/>
      <c r="C29" s="120">
        <v>1</v>
      </c>
      <c r="D29" s="120"/>
      <c r="E29" s="121"/>
      <c r="I29" s="28">
        <v>17</v>
      </c>
      <c r="J29" s="29"/>
      <c r="K29" s="30" cm="1">
        <f t="array" ref="K29">_xlfn.IFS(AND($C$2=17,$C$5="I"),48.75,AND($C$2&gt;=18,$C$5="I"),65,AND($C$2&lt;=16,$C$5="I"),,$C$5="D",)</f>
        <v>0</v>
      </c>
      <c r="L29" s="30"/>
      <c r="M29" s="31"/>
    </row>
    <row r="30" spans="1:19" ht="15.75" thickBot="1" x14ac:dyDescent="0.3">
      <c r="A30" s="79" t="s">
        <v>11</v>
      </c>
      <c r="B30" s="80"/>
      <c r="C30" s="44">
        <f>SUM((C27*13),(C28*15),(C29*26))</f>
        <v>26</v>
      </c>
      <c r="D30" s="44"/>
      <c r="E30" s="45"/>
      <c r="I30" s="28">
        <v>18</v>
      </c>
      <c r="J30" s="29"/>
      <c r="K30" s="30" cm="1">
        <f t="array" ref="K30">_xlfn.IFS(AND($C$2=18,$C$5="I"),48.75,AND($C$2&gt;=19,$C$5="I"),65,AND($C$2&lt;=17,$C$5="I"),,$C$5="D",)</f>
        <v>0</v>
      </c>
      <c r="L30" s="30"/>
      <c r="M30" s="31"/>
      <c r="O30" s="111" t="s">
        <v>36</v>
      </c>
      <c r="P30" s="112"/>
      <c r="Q30" s="112"/>
      <c r="R30" s="112"/>
      <c r="S30" s="113"/>
    </row>
    <row r="31" spans="1:19" ht="15.75" thickBot="1" x14ac:dyDescent="0.3">
      <c r="I31" s="28">
        <v>19</v>
      </c>
      <c r="J31" s="29"/>
      <c r="K31" s="30" cm="1">
        <f t="array" ref="K31">_xlfn.IFS(AND($C$2=19,$C$5="I"),48.75,AND($C$2&gt;=20,$C$5="I"),65,AND($C$2&lt;=18,$C$5="I"),,$C$5="D",)</f>
        <v>0</v>
      </c>
      <c r="L31" s="30"/>
      <c r="M31" s="31"/>
      <c r="O31" s="114"/>
      <c r="P31" s="115"/>
      <c r="Q31" s="115"/>
      <c r="R31" s="115"/>
      <c r="S31" s="116"/>
    </row>
    <row r="32" spans="1:19" x14ac:dyDescent="0.25">
      <c r="A32" s="111" t="s">
        <v>36</v>
      </c>
      <c r="B32" s="112"/>
      <c r="C32" s="112"/>
      <c r="D32" s="112"/>
      <c r="E32" s="113"/>
      <c r="I32" s="28">
        <v>20</v>
      </c>
      <c r="J32" s="29"/>
      <c r="K32" s="30" cm="1">
        <f t="array" ref="K32">_xlfn.IFS(AND($C$2=20,$C$5="I"),48.75,AND($C$2&gt;=21,$C$5="I"),65,AND($C$2&lt;=19,$C$5="I"),,$C$5="D",)</f>
        <v>0</v>
      </c>
      <c r="L32" s="30"/>
      <c r="M32" s="31"/>
      <c r="O32" s="114"/>
      <c r="P32" s="115"/>
      <c r="Q32" s="115"/>
      <c r="R32" s="115"/>
      <c r="S32" s="116"/>
    </row>
    <row r="33" spans="1:19" ht="15.75" thickBot="1" x14ac:dyDescent="0.3">
      <c r="A33" s="114"/>
      <c r="B33" s="115"/>
      <c r="C33" s="115"/>
      <c r="D33" s="115"/>
      <c r="E33" s="116"/>
      <c r="I33" s="28">
        <v>21</v>
      </c>
      <c r="J33" s="29"/>
      <c r="K33" s="30" cm="1">
        <f t="array" ref="K33">_xlfn.IFS(AND($C$2=21,$C$5="I"),48.75,AND($C$2&gt;=22,$C$5="I"),65,AND($C$2&lt;=20,$C$5="I"),,$C$5="D",)</f>
        <v>0</v>
      </c>
      <c r="L33" s="30"/>
      <c r="M33" s="31"/>
      <c r="O33" s="117"/>
      <c r="P33" s="118"/>
      <c r="Q33" s="118"/>
      <c r="R33" s="118"/>
      <c r="S33" s="119"/>
    </row>
    <row r="34" spans="1:19" x14ac:dyDescent="0.25">
      <c r="A34" s="114"/>
      <c r="B34" s="115"/>
      <c r="C34" s="115"/>
      <c r="D34" s="115"/>
      <c r="E34" s="116"/>
      <c r="I34" s="28">
        <v>22</v>
      </c>
      <c r="J34" s="29"/>
      <c r="K34" s="30" cm="1">
        <f t="array" ref="K34">_xlfn.IFS(AND($C$2=22,$C$5="I"),48.75,AND($C$2&gt;=23,$C$5="I"),65,AND($C$2&lt;=21,$C$5="I"),,$C$5="D",)</f>
        <v>0</v>
      </c>
      <c r="L34" s="30"/>
      <c r="M34" s="31"/>
    </row>
    <row r="35" spans="1:19" ht="15.75" thickBot="1" x14ac:dyDescent="0.3">
      <c r="A35" s="117"/>
      <c r="B35" s="118"/>
      <c r="C35" s="118"/>
      <c r="D35" s="118"/>
      <c r="E35" s="119"/>
      <c r="I35" s="28">
        <v>23</v>
      </c>
      <c r="J35" s="29"/>
      <c r="K35" s="30" cm="1">
        <f t="array" ref="K35">_xlfn.IFS(AND($C$2=23,$C$5="I"),48.75,AND($C$2&gt;=24,$C$5="I"),65,AND($C$2&lt;=22,$C$5="I"),,$C$5="D",)</f>
        <v>0</v>
      </c>
      <c r="L35" s="30"/>
      <c r="M35" s="31"/>
    </row>
    <row r="36" spans="1:19" x14ac:dyDescent="0.25">
      <c r="I36" s="28">
        <v>24</v>
      </c>
      <c r="J36" s="29"/>
      <c r="K36" s="30" cm="1">
        <f t="array" ref="K36">_xlfn.IFS(AND($C$2=24,$C$5="I"),48.75,AND($C$2&gt;=25,$C$5="I"),65,AND($C$2&lt;=23,$C$5="I"),,$C$5="D",)</f>
        <v>0</v>
      </c>
      <c r="L36" s="30"/>
      <c r="M36" s="31"/>
    </row>
    <row r="37" spans="1:19" x14ac:dyDescent="0.25">
      <c r="I37" s="28">
        <v>25</v>
      </c>
      <c r="J37" s="29"/>
      <c r="K37" s="30" cm="1">
        <f t="array" ref="K37">_xlfn.IFS(AND($C$2=25,$C$5="I"),48.75,AND($C$2&gt;=26,$C$5="I"),65,AND($C$2&lt;=24,$C$5="I"),,$C$5="D",)</f>
        <v>0</v>
      </c>
      <c r="L37" s="30"/>
      <c r="M37" s="31"/>
    </row>
    <row r="38" spans="1:19" ht="15.75" thickBot="1" x14ac:dyDescent="0.3">
      <c r="I38" s="79" t="s">
        <v>6</v>
      </c>
      <c r="J38" s="80"/>
      <c r="K38" s="94">
        <f>SUM(K13:M37)</f>
        <v>48.75</v>
      </c>
      <c r="L38" s="95"/>
      <c r="M38" s="108"/>
    </row>
    <row r="57" spans="1:1" x14ac:dyDescent="0.25">
      <c r="A57" s="2" t="s">
        <v>28</v>
      </c>
    </row>
  </sheetData>
  <mergeCells count="137">
    <mergeCell ref="A5:B5"/>
    <mergeCell ref="C5:E5"/>
    <mergeCell ref="A6:B6"/>
    <mergeCell ref="C6:E6"/>
    <mergeCell ref="G6:O7"/>
    <mergeCell ref="A7:B7"/>
    <mergeCell ref="C7:E7"/>
    <mergeCell ref="A1:E1"/>
    <mergeCell ref="A2:B2"/>
    <mergeCell ref="C2:E2"/>
    <mergeCell ref="G2:O4"/>
    <mergeCell ref="A3:B3"/>
    <mergeCell ref="C3:E3"/>
    <mergeCell ref="A4:B4"/>
    <mergeCell ref="C4:E4"/>
    <mergeCell ref="O11:Q11"/>
    <mergeCell ref="A12:B12"/>
    <mergeCell ref="C12:E12"/>
    <mergeCell ref="F12:G12"/>
    <mergeCell ref="I12:J12"/>
    <mergeCell ref="K12:M12"/>
    <mergeCell ref="A8:B8"/>
    <mergeCell ref="C8:E8"/>
    <mergeCell ref="A9:B9"/>
    <mergeCell ref="C9:E9"/>
    <mergeCell ref="A11:G11"/>
    <mergeCell ref="I11:M11"/>
    <mergeCell ref="A13:B13"/>
    <mergeCell ref="C13:E13"/>
    <mergeCell ref="F13:G13"/>
    <mergeCell ref="I13:J13"/>
    <mergeCell ref="K13:M13"/>
    <mergeCell ref="A14:B14"/>
    <mergeCell ref="C14:E14"/>
    <mergeCell ref="F14:G14"/>
    <mergeCell ref="I14:J14"/>
    <mergeCell ref="K14:M14"/>
    <mergeCell ref="A15:B15"/>
    <mergeCell ref="C15:E15"/>
    <mergeCell ref="F15:G15"/>
    <mergeCell ref="I15:J15"/>
    <mergeCell ref="K15:M15"/>
    <mergeCell ref="A16:B16"/>
    <mergeCell ref="C16:E16"/>
    <mergeCell ref="F16:G16"/>
    <mergeCell ref="I16:J16"/>
    <mergeCell ref="K16:M16"/>
    <mergeCell ref="A17:B17"/>
    <mergeCell ref="C17:E17"/>
    <mergeCell ref="F17:G17"/>
    <mergeCell ref="I17:J17"/>
    <mergeCell ref="K17:M17"/>
    <mergeCell ref="A18:B18"/>
    <mergeCell ref="C18:E18"/>
    <mergeCell ref="F18:G18"/>
    <mergeCell ref="I18:J18"/>
    <mergeCell ref="K18:M18"/>
    <mergeCell ref="K20:M20"/>
    <mergeCell ref="A21:B21"/>
    <mergeCell ref="C21:E21"/>
    <mergeCell ref="F21:G21"/>
    <mergeCell ref="I21:J21"/>
    <mergeCell ref="K21:M21"/>
    <mergeCell ref="O18:Q20"/>
    <mergeCell ref="A19:B19"/>
    <mergeCell ref="C19:E19"/>
    <mergeCell ref="F19:G19"/>
    <mergeCell ref="I19:J19"/>
    <mergeCell ref="K19:M19"/>
    <mergeCell ref="A20:B20"/>
    <mergeCell ref="C20:E20"/>
    <mergeCell ref="F20:G20"/>
    <mergeCell ref="I20:J20"/>
    <mergeCell ref="A22:B22"/>
    <mergeCell ref="C22:E22"/>
    <mergeCell ref="F22:G22"/>
    <mergeCell ref="I22:J22"/>
    <mergeCell ref="K22:M22"/>
    <mergeCell ref="A23:B23"/>
    <mergeCell ref="C23:E23"/>
    <mergeCell ref="F23:G23"/>
    <mergeCell ref="I23:J23"/>
    <mergeCell ref="K23:M23"/>
    <mergeCell ref="A26:B26"/>
    <mergeCell ref="C26:E26"/>
    <mergeCell ref="I26:J26"/>
    <mergeCell ref="K26:M26"/>
    <mergeCell ref="O26:P26"/>
    <mergeCell ref="Q26:S26"/>
    <mergeCell ref="O23:S23"/>
    <mergeCell ref="I24:J24"/>
    <mergeCell ref="K24:M24"/>
    <mergeCell ref="O24:P24"/>
    <mergeCell ref="Q24:S24"/>
    <mergeCell ref="A25:E25"/>
    <mergeCell ref="I25:J25"/>
    <mergeCell ref="K25:M25"/>
    <mergeCell ref="O25:P25"/>
    <mergeCell ref="Q25:S25"/>
    <mergeCell ref="A28:B28"/>
    <mergeCell ref="C28:E28"/>
    <mergeCell ref="I28:J28"/>
    <mergeCell ref="K28:M28"/>
    <mergeCell ref="O28:P28"/>
    <mergeCell ref="Q28:S28"/>
    <mergeCell ref="A27:B27"/>
    <mergeCell ref="C27:E27"/>
    <mergeCell ref="I27:J27"/>
    <mergeCell ref="K27:M27"/>
    <mergeCell ref="O27:P27"/>
    <mergeCell ref="Q27:S27"/>
    <mergeCell ref="A32:E35"/>
    <mergeCell ref="I32:J32"/>
    <mergeCell ref="K32:M32"/>
    <mergeCell ref="I33:J33"/>
    <mergeCell ref="K33:M33"/>
    <mergeCell ref="I34:J34"/>
    <mergeCell ref="K34:M34"/>
    <mergeCell ref="A29:B29"/>
    <mergeCell ref="C29:E29"/>
    <mergeCell ref="I29:J29"/>
    <mergeCell ref="K29:M29"/>
    <mergeCell ref="A30:B30"/>
    <mergeCell ref="C30:E30"/>
    <mergeCell ref="I30:J30"/>
    <mergeCell ref="K30:M30"/>
    <mergeCell ref="I38:J38"/>
    <mergeCell ref="K38:M38"/>
    <mergeCell ref="I35:J35"/>
    <mergeCell ref="K35:M35"/>
    <mergeCell ref="I36:J36"/>
    <mergeCell ref="K36:M36"/>
    <mergeCell ref="I37:J37"/>
    <mergeCell ref="K37:M37"/>
    <mergeCell ref="O30:S33"/>
    <mergeCell ref="I31:J31"/>
    <mergeCell ref="K31:M31"/>
  </mergeCells>
  <pageMargins left="0.7" right="0.7" top="0.75" bottom="0.75" header="0.3" footer="0.3"/>
  <pageSetup scale="5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13365-F776-421B-A144-C532F0EB5F3F}">
  <sheetPr codeName="Sheet5">
    <pageSetUpPr fitToPage="1"/>
  </sheetPr>
  <dimension ref="A1:S57"/>
  <sheetViews>
    <sheetView zoomScaleNormal="100" workbookViewId="0">
      <selection activeCell="C9" sqref="C9:E9"/>
    </sheetView>
  </sheetViews>
  <sheetFormatPr defaultRowHeight="15" x14ac:dyDescent="0.25"/>
  <cols>
    <col min="2" max="2" width="19" customWidth="1"/>
    <col min="5" max="5" width="21.7109375" customWidth="1"/>
    <col min="9" max="9" width="12" customWidth="1"/>
    <col min="10" max="10" width="14.42578125" customWidth="1"/>
    <col min="13" max="13" width="16.85546875" customWidth="1"/>
    <col min="15" max="15" width="23.5703125" bestFit="1" customWidth="1"/>
    <col min="16" max="16" width="16.42578125" bestFit="1" customWidth="1"/>
    <col min="17" max="17" width="22.140625" bestFit="1" customWidth="1"/>
  </cols>
  <sheetData>
    <row r="1" spans="1:17" ht="24" thickBot="1" x14ac:dyDescent="0.4">
      <c r="A1" s="51" t="s">
        <v>0</v>
      </c>
      <c r="B1" s="52"/>
      <c r="C1" s="52"/>
      <c r="D1" s="52"/>
      <c r="E1" s="53"/>
    </row>
    <row r="2" spans="1:17" ht="15" customHeight="1" x14ac:dyDescent="0.25">
      <c r="A2" s="28" t="s">
        <v>1</v>
      </c>
      <c r="B2" s="29"/>
      <c r="C2" s="61">
        <v>4</v>
      </c>
      <c r="D2" s="61"/>
      <c r="E2" s="62"/>
      <c r="G2" s="96" t="s">
        <v>27</v>
      </c>
      <c r="H2" s="97"/>
      <c r="I2" s="97"/>
      <c r="J2" s="97"/>
      <c r="K2" s="97"/>
      <c r="L2" s="97"/>
      <c r="M2" s="97"/>
      <c r="N2" s="97"/>
      <c r="O2" s="98"/>
    </row>
    <row r="3" spans="1:17" x14ac:dyDescent="0.25">
      <c r="A3" s="28" t="s">
        <v>2</v>
      </c>
      <c r="B3" s="29"/>
      <c r="C3" s="60" t="s">
        <v>19</v>
      </c>
      <c r="D3" s="29"/>
      <c r="E3" s="46"/>
      <c r="G3" s="99"/>
      <c r="H3" s="100"/>
      <c r="I3" s="100"/>
      <c r="J3" s="100"/>
      <c r="K3" s="100"/>
      <c r="L3" s="100"/>
      <c r="M3" s="100"/>
      <c r="N3" s="100"/>
      <c r="O3" s="101"/>
    </row>
    <row r="4" spans="1:17" ht="15.75" thickBot="1" x14ac:dyDescent="0.3">
      <c r="A4" s="28" t="s">
        <v>3</v>
      </c>
      <c r="B4" s="29"/>
      <c r="C4" s="59" t="s">
        <v>22</v>
      </c>
      <c r="D4" s="29"/>
      <c r="E4" s="46"/>
      <c r="G4" s="102"/>
      <c r="H4" s="103"/>
      <c r="I4" s="103"/>
      <c r="J4" s="103"/>
      <c r="K4" s="103"/>
      <c r="L4" s="103"/>
      <c r="M4" s="103"/>
      <c r="N4" s="103"/>
      <c r="O4" s="104"/>
    </row>
    <row r="5" spans="1:17" ht="15.75" thickBot="1" x14ac:dyDescent="0.3">
      <c r="A5" s="54" t="s">
        <v>14</v>
      </c>
      <c r="B5" s="55"/>
      <c r="C5" s="56" t="s">
        <v>24</v>
      </c>
      <c r="D5" s="57"/>
      <c r="E5" s="58"/>
    </row>
    <row r="6" spans="1:17" x14ac:dyDescent="0.25">
      <c r="A6" s="54" t="s">
        <v>21</v>
      </c>
      <c r="B6" s="55"/>
      <c r="C6" s="32">
        <f>IF(C5="D",C30,Q28)</f>
        <v>29</v>
      </c>
      <c r="D6" s="33"/>
      <c r="E6" s="34"/>
      <c r="G6" s="96" t="s">
        <v>26</v>
      </c>
      <c r="H6" s="97"/>
      <c r="I6" s="97"/>
      <c r="J6" s="97"/>
      <c r="K6" s="97"/>
      <c r="L6" s="97"/>
      <c r="M6" s="97"/>
      <c r="N6" s="97"/>
      <c r="O6" s="98"/>
    </row>
    <row r="7" spans="1:17" ht="15.75" thickBot="1" x14ac:dyDescent="0.3">
      <c r="A7" s="28" t="s">
        <v>34</v>
      </c>
      <c r="B7" s="29"/>
      <c r="C7" s="32">
        <f>Q16</f>
        <v>0</v>
      </c>
      <c r="D7" s="33"/>
      <c r="E7" s="34"/>
      <c r="G7" s="102"/>
      <c r="H7" s="103"/>
      <c r="I7" s="103"/>
      <c r="J7" s="103"/>
      <c r="K7" s="103"/>
      <c r="L7" s="103"/>
      <c r="M7" s="103"/>
      <c r="N7" s="103"/>
      <c r="O7" s="104"/>
    </row>
    <row r="8" spans="1:17" x14ac:dyDescent="0.25">
      <c r="A8" s="28" t="s">
        <v>20</v>
      </c>
      <c r="B8" s="29"/>
      <c r="C8" s="32">
        <f>IF(C5="D",(C23+C7-C6),(K38+C7-C6))</f>
        <v>198.5</v>
      </c>
      <c r="D8" s="33"/>
      <c r="E8" s="34"/>
      <c r="G8" s="7"/>
      <c r="H8" s="7"/>
      <c r="I8" s="7"/>
      <c r="J8" s="7"/>
      <c r="K8" s="7"/>
      <c r="L8" s="7"/>
      <c r="M8" s="7"/>
      <c r="N8" s="7"/>
      <c r="O8" s="7"/>
    </row>
    <row r="9" spans="1:17" ht="15.75" thickBot="1" x14ac:dyDescent="0.3">
      <c r="A9" s="79" t="s">
        <v>4</v>
      </c>
      <c r="B9" s="80"/>
      <c r="C9" s="129" cm="1">
        <f t="array" ref="C9">_xlfn.IFS(C5="D",MIN(C8,F23),C5="I",K38+Q16-Q28)</f>
        <v>198.5</v>
      </c>
      <c r="D9" s="129"/>
      <c r="E9" s="130"/>
    </row>
    <row r="10" spans="1:17" ht="15.75" thickBot="1" x14ac:dyDescent="0.3"/>
    <row r="11" spans="1:17" x14ac:dyDescent="0.25">
      <c r="A11" s="25" t="s">
        <v>15</v>
      </c>
      <c r="B11" s="26"/>
      <c r="C11" s="26"/>
      <c r="D11" s="26"/>
      <c r="E11" s="26"/>
      <c r="F11" s="26"/>
      <c r="G11" s="27"/>
      <c r="I11" s="25" t="s">
        <v>18</v>
      </c>
      <c r="J11" s="26"/>
      <c r="K11" s="26"/>
      <c r="L11" s="26"/>
      <c r="M11" s="27"/>
      <c r="O11" s="25" t="s">
        <v>30</v>
      </c>
      <c r="P11" s="26"/>
      <c r="Q11" s="27"/>
    </row>
    <row r="12" spans="1:17" ht="15.75" thickBot="1" x14ac:dyDescent="0.3">
      <c r="A12" s="49" t="s">
        <v>5</v>
      </c>
      <c r="B12" s="50"/>
      <c r="C12" s="50" t="s">
        <v>12</v>
      </c>
      <c r="D12" s="50"/>
      <c r="E12" s="50"/>
      <c r="F12" s="29" t="s">
        <v>13</v>
      </c>
      <c r="G12" s="46"/>
      <c r="I12" s="49" t="s">
        <v>5</v>
      </c>
      <c r="J12" s="50"/>
      <c r="K12" s="50" t="s">
        <v>12</v>
      </c>
      <c r="L12" s="50"/>
      <c r="M12" s="105"/>
      <c r="O12" s="5" t="s">
        <v>29</v>
      </c>
      <c r="P12" s="6" t="s">
        <v>33</v>
      </c>
      <c r="Q12" s="11" t="s">
        <v>32</v>
      </c>
    </row>
    <row r="13" spans="1:17" x14ac:dyDescent="0.25">
      <c r="A13" s="28">
        <v>1</v>
      </c>
      <c r="B13" s="29"/>
      <c r="C13" s="83">
        <v>44.25</v>
      </c>
      <c r="D13" s="83"/>
      <c r="E13" s="83"/>
      <c r="F13" s="47"/>
      <c r="G13" s="48"/>
      <c r="I13" s="28">
        <v>1</v>
      </c>
      <c r="J13" s="29"/>
      <c r="K13" s="106">
        <v>48.75</v>
      </c>
      <c r="L13" s="106"/>
      <c r="M13" s="107"/>
      <c r="O13" s="4" t="s">
        <v>8</v>
      </c>
      <c r="P13" s="14"/>
      <c r="Q13" s="12">
        <f>IF(C5="D",P13*13,P13*14)</f>
        <v>0</v>
      </c>
    </row>
    <row r="14" spans="1:17" x14ac:dyDescent="0.25">
      <c r="A14" s="28">
        <v>2</v>
      </c>
      <c r="B14" s="29"/>
      <c r="C14" s="30" cm="1">
        <f t="array" ref="C14">_xlfn.IFS(AND($C$2=2,$C$5="D"),44.25,AND($C$2&gt;=3,$C$5="D"),59,AND($C$2&lt;=1,$C$5="D"),,$C$5="I",)</f>
        <v>0</v>
      </c>
      <c r="D14" s="30"/>
      <c r="E14" s="30"/>
      <c r="F14" s="47"/>
      <c r="G14" s="48"/>
      <c r="I14" s="28">
        <v>2</v>
      </c>
      <c r="J14" s="29"/>
      <c r="K14" s="30" cm="1">
        <f t="array" ref="K14">_xlfn.IFS(AND($C$2=2,$C$5="I"),48.75,AND($C$2&gt;=3,$C$5="I"),65,AND($C$2&lt;=1,$C$5="I"),,$C$5="D",)</f>
        <v>65</v>
      </c>
      <c r="L14" s="30"/>
      <c r="M14" s="31"/>
      <c r="O14" s="3" t="s">
        <v>9</v>
      </c>
      <c r="P14" s="8"/>
      <c r="Q14" s="13">
        <f>IF(C5="D",P14*15,P14*17)</f>
        <v>0</v>
      </c>
    </row>
    <row r="15" spans="1:17" x14ac:dyDescent="0.25">
      <c r="A15" s="28">
        <v>3</v>
      </c>
      <c r="B15" s="29"/>
      <c r="C15" s="30" cm="1">
        <f t="array" ref="C15">_xlfn.IFS(AND($C$2=3,$C$5="D"),44.25,AND($C$2&gt;=4,$C$5="D"),59,AND($C$2&lt;=2,$C$5="D"),,$C$5="I",)</f>
        <v>0</v>
      </c>
      <c r="D15" s="30"/>
      <c r="E15" s="30"/>
      <c r="F15" s="47"/>
      <c r="G15" s="48"/>
      <c r="I15" s="28">
        <v>3</v>
      </c>
      <c r="J15" s="29"/>
      <c r="K15" s="30" cm="1">
        <f t="array" ref="K15">_xlfn.IFS(AND($C$2=3,$C$5="I"),48.75,AND($C$2&gt;=4,$C$5="I"),65,AND($C$2&lt;=2,$C$5="I"),,$C$5="D",)</f>
        <v>65</v>
      </c>
      <c r="L15" s="30"/>
      <c r="M15" s="31"/>
      <c r="O15" s="3" t="s">
        <v>10</v>
      </c>
      <c r="P15" s="8"/>
      <c r="Q15" s="13">
        <f>IF(C5="D",P15*26,P15*29)</f>
        <v>0</v>
      </c>
    </row>
    <row r="16" spans="1:17" ht="15.75" thickBot="1" x14ac:dyDescent="0.3">
      <c r="A16" s="28">
        <v>4</v>
      </c>
      <c r="B16" s="29"/>
      <c r="C16" s="30" cm="1">
        <f t="array" ref="C16">_xlfn.IFS(AND($C$2=4,$C$5="D"),44.25,AND($C$2&gt;=4,$C$5="D"),59,AND($C$2&lt;=3,$C$5="D"),,$C$5="I",)</f>
        <v>0</v>
      </c>
      <c r="D16" s="30"/>
      <c r="E16" s="30"/>
      <c r="F16" s="47"/>
      <c r="G16" s="48"/>
      <c r="I16" s="28">
        <v>4</v>
      </c>
      <c r="J16" s="29"/>
      <c r="K16" s="30" cm="1">
        <f t="array" ref="K16">_xlfn.IFS(AND($C$2=4,$C$5="I"),48.75,AND($C$2&gt;=5,$C$5="I"),65,AND($C$2&lt;=3,$C$5="I"),,$C$5="D",)</f>
        <v>48.75</v>
      </c>
      <c r="L16" s="30"/>
      <c r="M16" s="31"/>
      <c r="O16" s="5" t="s">
        <v>31</v>
      </c>
      <c r="P16" s="9">
        <f>SUM(P13:P15)</f>
        <v>0</v>
      </c>
      <c r="Q16" s="10">
        <f>SUM(Q13:Q15)</f>
        <v>0</v>
      </c>
    </row>
    <row r="17" spans="1:19" ht="15.75" thickBot="1" x14ac:dyDescent="0.3">
      <c r="A17" s="28">
        <v>5</v>
      </c>
      <c r="B17" s="29"/>
      <c r="C17" s="30" cm="1">
        <f t="array" ref="C17">_xlfn.IFS(AND($C$2=5,$C$5="D"),44.25,AND($C$2&gt;=5,$C$5="D"),59,AND($C$2&lt;=4,$C$5="D"),,$C$5="I",)</f>
        <v>0</v>
      </c>
      <c r="D17" s="30"/>
      <c r="E17" s="30"/>
      <c r="F17" s="47"/>
      <c r="G17" s="48"/>
      <c r="I17" s="28">
        <v>5</v>
      </c>
      <c r="J17" s="29"/>
      <c r="K17" s="30" cm="1">
        <f t="array" ref="K17">_xlfn.IFS(AND($C$2=5,$C$5="I"),48.75,AND($C$2&gt;=6,$C$5="I"),65,AND($C$2&lt;=4,$C$5="I"),,$C$5="D",)</f>
        <v>0</v>
      </c>
      <c r="L17" s="30"/>
      <c r="M17" s="31"/>
    </row>
    <row r="18" spans="1:19" x14ac:dyDescent="0.25">
      <c r="A18" s="28">
        <v>6</v>
      </c>
      <c r="B18" s="29"/>
      <c r="C18" s="30" cm="1">
        <f t="array" ref="C18">_xlfn.IFS(AND($C$2=6,$C$5="D"),44.25,AND($C$2&gt;=6,$C$5="D"),59,AND($C$2&lt;=5,$C$5="D"),,$C$5="I",)</f>
        <v>0</v>
      </c>
      <c r="D18" s="30"/>
      <c r="E18" s="30"/>
      <c r="F18" s="47"/>
      <c r="G18" s="48"/>
      <c r="H18" s="1"/>
      <c r="I18" s="28">
        <v>6</v>
      </c>
      <c r="J18" s="29"/>
      <c r="K18" s="30" cm="1">
        <f t="array" ref="K18">_xlfn.IFS(AND($C$2=6,$C$5="I"),48.75,AND($C$2&gt;=7,$C$5="I"),65,AND($C$2&lt;=5,$C$5="I"),,$C$5="D",)</f>
        <v>0</v>
      </c>
      <c r="L18" s="30"/>
      <c r="M18" s="31"/>
      <c r="O18" s="35" t="s">
        <v>35</v>
      </c>
      <c r="P18" s="36"/>
      <c r="Q18" s="37"/>
    </row>
    <row r="19" spans="1:19" x14ac:dyDescent="0.25">
      <c r="A19" s="28">
        <v>7</v>
      </c>
      <c r="B19" s="29"/>
      <c r="C19" s="30" cm="1">
        <f t="array" ref="C19">_xlfn.IFS(AND($C$2=7,$C$5="D"),44.25,AND($C$2&gt;=7,$C$5="D"),59,AND($C$2&lt;=6,$C$5="D"),,$C$5="I",)</f>
        <v>0</v>
      </c>
      <c r="D19" s="30"/>
      <c r="E19" s="30"/>
      <c r="F19" s="47"/>
      <c r="G19" s="48"/>
      <c r="I19" s="28">
        <v>7</v>
      </c>
      <c r="J19" s="29"/>
      <c r="K19" s="30" cm="1">
        <f t="array" ref="K19">_xlfn.IFS(AND($C$2=7,$C$5="I"),48.75,AND($C$2&gt;=8,$C$5="I"),65,AND($C$2&lt;=6,$C$5="I"),,$C$5="D",)</f>
        <v>0</v>
      </c>
      <c r="L19" s="30"/>
      <c r="M19" s="31"/>
      <c r="O19" s="38"/>
      <c r="P19" s="39"/>
      <c r="Q19" s="40"/>
    </row>
    <row r="20" spans="1:19" ht="15.75" thickBot="1" x14ac:dyDescent="0.3">
      <c r="A20" s="28">
        <v>8</v>
      </c>
      <c r="B20" s="29"/>
      <c r="C20" s="30" cm="1">
        <f t="array" ref="C20">_xlfn.IFS(AND($C$2=8,$C$5="D"),44.25,AND($C$2&gt;=8,$C$5="D"),59,AND($C$2&lt;=7,$C$5="D"),,$C$5="I",)</f>
        <v>0</v>
      </c>
      <c r="D20" s="30"/>
      <c r="E20" s="30"/>
      <c r="F20" s="47"/>
      <c r="G20" s="48"/>
      <c r="I20" s="28">
        <v>8</v>
      </c>
      <c r="J20" s="29"/>
      <c r="K20" s="30" cm="1">
        <f t="array" ref="K20">_xlfn.IFS(AND($C$2=8,$C$5="I"),48.75,AND($C$2&gt;=9,$C$5="I"),65,AND($C$2&lt;=7,$C$5="I"),,$C$5="D",)</f>
        <v>0</v>
      </c>
      <c r="L20" s="30"/>
      <c r="M20" s="31"/>
      <c r="O20" s="41"/>
      <c r="P20" s="42"/>
      <c r="Q20" s="43"/>
    </row>
    <row r="21" spans="1:19" x14ac:dyDescent="0.25">
      <c r="A21" s="28">
        <v>9</v>
      </c>
      <c r="B21" s="29"/>
      <c r="C21" s="30" cm="1">
        <f t="array" ref="C21">_xlfn.IFS(AND($C$2=9,$C$5="D"),44.25,AND($C$2&gt;=9,$C$5="D"),59,AND($C$2&lt;=8,$C$5="D"),,$C$5="I",)</f>
        <v>0</v>
      </c>
      <c r="D21" s="30"/>
      <c r="E21" s="30"/>
      <c r="F21" s="47"/>
      <c r="G21" s="48"/>
      <c r="I21" s="28">
        <v>9</v>
      </c>
      <c r="J21" s="29"/>
      <c r="K21" s="30" cm="1">
        <f t="array" ref="K21">_xlfn.IFS(AND($C$2=9,$C$5="I"),48.75,AND($C$2&gt;=10,$C$5="I"),65,AND($C$2&lt;=8,$C$5="I"),,$C$5="D",)</f>
        <v>0</v>
      </c>
      <c r="L21" s="30"/>
      <c r="M21" s="31"/>
    </row>
    <row r="22" spans="1:19" ht="15.75" thickBot="1" x14ac:dyDescent="0.3">
      <c r="A22" s="28">
        <v>10</v>
      </c>
      <c r="B22" s="29"/>
      <c r="C22" s="30" cm="1">
        <f t="array" ref="C22">_xlfn.IFS(AND($C$2=10,$C$5="D"),44.25,AND($C$2&gt;=10,$C$5="D"),59,AND($C$2&lt;=9,$C$5="D"),,$C$5="I",)</f>
        <v>0</v>
      </c>
      <c r="D22" s="30"/>
      <c r="E22" s="30"/>
      <c r="F22" s="47"/>
      <c r="G22" s="48"/>
      <c r="I22" s="28">
        <v>10</v>
      </c>
      <c r="J22" s="29"/>
      <c r="K22" s="30" cm="1">
        <f t="array" ref="K22">_xlfn.IFS(AND($C$2=10,$C$5="I"),48.75,AND($C$2&gt;=11,$C$5="I"),65,AND($C$2&lt;=9,$C$5="I"),,$C$5="D",)</f>
        <v>0</v>
      </c>
      <c r="L22" s="30"/>
      <c r="M22" s="31"/>
    </row>
    <row r="23" spans="1:19" ht="15.75" thickBot="1" x14ac:dyDescent="0.3">
      <c r="A23" s="79" t="s">
        <v>6</v>
      </c>
      <c r="B23" s="80"/>
      <c r="C23" s="94">
        <f>SUM(C13:E22)</f>
        <v>44.25</v>
      </c>
      <c r="D23" s="95"/>
      <c r="E23" s="95"/>
      <c r="F23" s="44">
        <f>SUM(F13:G22)</f>
        <v>0</v>
      </c>
      <c r="G23" s="45"/>
      <c r="I23" s="28">
        <v>11</v>
      </c>
      <c r="J23" s="29"/>
      <c r="K23" s="30" cm="1">
        <f t="array" ref="K23">_xlfn.IFS(AND($C$2=11,$C$5="I"),48.75,AND($C$2&gt;=12,$C$5="I"),65,AND($C$2&lt;=10,$C$5="I"),,$C$5="D",)</f>
        <v>0</v>
      </c>
      <c r="L23" s="30"/>
      <c r="M23" s="31"/>
      <c r="O23" s="68" t="s">
        <v>17</v>
      </c>
      <c r="P23" s="69"/>
      <c r="Q23" s="69"/>
      <c r="R23" s="69"/>
      <c r="S23" s="70"/>
    </row>
    <row r="24" spans="1:19" ht="15.75" thickBot="1" x14ac:dyDescent="0.3">
      <c r="I24" s="28">
        <v>12</v>
      </c>
      <c r="J24" s="29"/>
      <c r="K24" s="30" cm="1">
        <f t="array" ref="K24">_xlfn.IFS(AND($C$2=12,$C$5="I"),48.75,AND($C$2&gt;=13,$C$5="I"),65,AND($C$2&lt;=11,$C$5="I"),,$C$5="D",)</f>
        <v>0</v>
      </c>
      <c r="L24" s="30"/>
      <c r="M24" s="31"/>
      <c r="O24" s="87" t="s">
        <v>25</v>
      </c>
      <c r="P24" s="88"/>
      <c r="Q24" s="84" t="s">
        <v>7</v>
      </c>
      <c r="R24" s="85"/>
      <c r="S24" s="86"/>
    </row>
    <row r="25" spans="1:19" ht="15.75" thickBot="1" x14ac:dyDescent="0.3">
      <c r="A25" s="68" t="s">
        <v>16</v>
      </c>
      <c r="B25" s="69"/>
      <c r="C25" s="69"/>
      <c r="D25" s="69"/>
      <c r="E25" s="70"/>
      <c r="I25" s="28">
        <v>13</v>
      </c>
      <c r="J25" s="29"/>
      <c r="K25" s="30" cm="1">
        <f t="array" ref="K25">_xlfn.IFS(AND($C$2=13,$C$5="I"),48.75,AND($C$2&gt;=14,$C$5="I"),65,AND($C$2&lt;=12,$C$5="I"),,$C$5="D",)</f>
        <v>0</v>
      </c>
      <c r="L25" s="30"/>
      <c r="M25" s="31"/>
      <c r="O25" s="71" t="s">
        <v>8</v>
      </c>
      <c r="P25" s="72"/>
      <c r="Q25" s="73"/>
      <c r="R25" s="74"/>
      <c r="S25" s="75"/>
    </row>
    <row r="26" spans="1:19" ht="15.75" thickBot="1" x14ac:dyDescent="0.3">
      <c r="A26" s="126" t="s">
        <v>25</v>
      </c>
      <c r="B26" s="127"/>
      <c r="C26" s="127" t="s">
        <v>7</v>
      </c>
      <c r="D26" s="127"/>
      <c r="E26" s="128"/>
      <c r="I26" s="28">
        <v>14</v>
      </c>
      <c r="J26" s="29"/>
      <c r="K26" s="30" cm="1">
        <f t="array" ref="K26">_xlfn.IFS(AND($C$2=14,$C$5="I"),48.75,AND($C$2&gt;=15,$C$5="I"),65,AND($C$2&lt;=13,$C$5="I"),,$C$5="D",)</f>
        <v>0</v>
      </c>
      <c r="L26" s="30"/>
      <c r="M26" s="31"/>
      <c r="O26" s="54" t="s">
        <v>9</v>
      </c>
      <c r="P26" s="55"/>
      <c r="Q26" s="76"/>
      <c r="R26" s="77"/>
      <c r="S26" s="78"/>
    </row>
    <row r="27" spans="1:19" x14ac:dyDescent="0.25">
      <c r="A27" s="122" t="s">
        <v>8</v>
      </c>
      <c r="B27" s="123"/>
      <c r="C27" s="124"/>
      <c r="D27" s="124"/>
      <c r="E27" s="125"/>
      <c r="I27" s="28">
        <v>15</v>
      </c>
      <c r="J27" s="29"/>
      <c r="K27" s="30" cm="1">
        <f t="array" ref="K27">_xlfn.IFS(AND($C$2=15,$C$5="I"),48.75,AND($C$2&gt;=16,$C$5="I"),65,AND($C$2&lt;=14,$C$5="I"),,$C$5="D",)</f>
        <v>0</v>
      </c>
      <c r="L27" s="30"/>
      <c r="M27" s="31"/>
      <c r="O27" s="54" t="s">
        <v>10</v>
      </c>
      <c r="P27" s="55"/>
      <c r="Q27" s="76">
        <v>1</v>
      </c>
      <c r="R27" s="77"/>
      <c r="S27" s="78"/>
    </row>
    <row r="28" spans="1:19" ht="15.75" thickBot="1" x14ac:dyDescent="0.3">
      <c r="A28" s="28" t="s">
        <v>9</v>
      </c>
      <c r="B28" s="29"/>
      <c r="C28" s="120"/>
      <c r="D28" s="120"/>
      <c r="E28" s="121"/>
      <c r="I28" s="28">
        <v>16</v>
      </c>
      <c r="J28" s="29"/>
      <c r="K28" s="30" cm="1">
        <f t="array" ref="K28">_xlfn.IFS(AND($C$2=16,$C$5="I"),48.75,AND($C$2&gt;=17,$C$5="I"),65,AND($C$2&lt;=15,$C$5="I"),,$C$5="D",)</f>
        <v>0</v>
      </c>
      <c r="L28" s="30"/>
      <c r="M28" s="31"/>
      <c r="O28" s="63" t="s">
        <v>11</v>
      </c>
      <c r="P28" s="64"/>
      <c r="Q28" s="65">
        <f>SUM((Q25*14),(Q26*17),(Q27*29))</f>
        <v>29</v>
      </c>
      <c r="R28" s="66"/>
      <c r="S28" s="67"/>
    </row>
    <row r="29" spans="1:19" ht="15.75" thickBot="1" x14ac:dyDescent="0.3">
      <c r="A29" s="28" t="s">
        <v>10</v>
      </c>
      <c r="B29" s="29"/>
      <c r="C29" s="120"/>
      <c r="D29" s="120"/>
      <c r="E29" s="121"/>
      <c r="I29" s="28">
        <v>17</v>
      </c>
      <c r="J29" s="29"/>
      <c r="K29" s="30" cm="1">
        <f t="array" ref="K29">_xlfn.IFS(AND($C$2=17,$C$5="I"),48.75,AND($C$2&gt;=18,$C$5="I"),65,AND($C$2&lt;=16,$C$5="I"),,$C$5="D",)</f>
        <v>0</v>
      </c>
      <c r="L29" s="30"/>
      <c r="M29" s="31"/>
    </row>
    <row r="30" spans="1:19" ht="15.75" thickBot="1" x14ac:dyDescent="0.3">
      <c r="A30" s="79" t="s">
        <v>11</v>
      </c>
      <c r="B30" s="80"/>
      <c r="C30" s="44">
        <f>SUM((C27*13),(C28*15),(C29*26))</f>
        <v>0</v>
      </c>
      <c r="D30" s="44"/>
      <c r="E30" s="45"/>
      <c r="I30" s="28">
        <v>18</v>
      </c>
      <c r="J30" s="29"/>
      <c r="K30" s="30" cm="1">
        <f t="array" ref="K30">_xlfn.IFS(AND($C$2=18,$C$5="I"),48.75,AND($C$2&gt;=19,$C$5="I"),65,AND($C$2&lt;=17,$C$5="I"),,$C$5="D",)</f>
        <v>0</v>
      </c>
      <c r="L30" s="30"/>
      <c r="M30" s="31"/>
      <c r="O30" s="111" t="s">
        <v>36</v>
      </c>
      <c r="P30" s="112"/>
      <c r="Q30" s="112"/>
      <c r="R30" s="112"/>
      <c r="S30" s="113"/>
    </row>
    <row r="31" spans="1:19" ht="15.75" thickBot="1" x14ac:dyDescent="0.3">
      <c r="I31" s="28">
        <v>19</v>
      </c>
      <c r="J31" s="29"/>
      <c r="K31" s="30" cm="1">
        <f t="array" ref="K31">_xlfn.IFS(AND($C$2=19,$C$5="I"),48.75,AND($C$2&gt;=20,$C$5="I"),65,AND($C$2&lt;=18,$C$5="I"),,$C$5="D",)</f>
        <v>0</v>
      </c>
      <c r="L31" s="30"/>
      <c r="M31" s="31"/>
      <c r="O31" s="114"/>
      <c r="P31" s="115"/>
      <c r="Q31" s="115"/>
      <c r="R31" s="115"/>
      <c r="S31" s="116"/>
    </row>
    <row r="32" spans="1:19" x14ac:dyDescent="0.25">
      <c r="A32" s="111" t="s">
        <v>36</v>
      </c>
      <c r="B32" s="112"/>
      <c r="C32" s="112"/>
      <c r="D32" s="112"/>
      <c r="E32" s="113"/>
      <c r="I32" s="28">
        <v>20</v>
      </c>
      <c r="J32" s="29"/>
      <c r="K32" s="30" cm="1">
        <f t="array" ref="K32">_xlfn.IFS(AND($C$2=20,$C$5="I"),48.75,AND($C$2&gt;=21,$C$5="I"),65,AND($C$2&lt;=19,$C$5="I"),,$C$5="D",)</f>
        <v>0</v>
      </c>
      <c r="L32" s="30"/>
      <c r="M32" s="31"/>
      <c r="O32" s="114"/>
      <c r="P32" s="115"/>
      <c r="Q32" s="115"/>
      <c r="R32" s="115"/>
      <c r="S32" s="116"/>
    </row>
    <row r="33" spans="1:19" ht="15.75" thickBot="1" x14ac:dyDescent="0.3">
      <c r="A33" s="114"/>
      <c r="B33" s="115"/>
      <c r="C33" s="115"/>
      <c r="D33" s="115"/>
      <c r="E33" s="116"/>
      <c r="I33" s="28">
        <v>21</v>
      </c>
      <c r="J33" s="29"/>
      <c r="K33" s="30" cm="1">
        <f t="array" ref="K33">_xlfn.IFS(AND($C$2=21,$C$5="I"),48.75,AND($C$2&gt;=22,$C$5="I"),65,AND($C$2&lt;=20,$C$5="I"),,$C$5="D",)</f>
        <v>0</v>
      </c>
      <c r="L33" s="30"/>
      <c r="M33" s="31"/>
      <c r="O33" s="117"/>
      <c r="P33" s="118"/>
      <c r="Q33" s="118"/>
      <c r="R33" s="118"/>
      <c r="S33" s="119"/>
    </row>
    <row r="34" spans="1:19" x14ac:dyDescent="0.25">
      <c r="A34" s="114"/>
      <c r="B34" s="115"/>
      <c r="C34" s="115"/>
      <c r="D34" s="115"/>
      <c r="E34" s="116"/>
      <c r="I34" s="28">
        <v>22</v>
      </c>
      <c r="J34" s="29"/>
      <c r="K34" s="30" cm="1">
        <f t="array" ref="K34">_xlfn.IFS(AND($C$2=22,$C$5="I"),48.75,AND($C$2&gt;=23,$C$5="I"),65,AND($C$2&lt;=21,$C$5="I"),,$C$5="D",)</f>
        <v>0</v>
      </c>
      <c r="L34" s="30"/>
      <c r="M34" s="31"/>
    </row>
    <row r="35" spans="1:19" ht="15.75" thickBot="1" x14ac:dyDescent="0.3">
      <c r="A35" s="117"/>
      <c r="B35" s="118"/>
      <c r="C35" s="118"/>
      <c r="D35" s="118"/>
      <c r="E35" s="119"/>
      <c r="I35" s="28">
        <v>23</v>
      </c>
      <c r="J35" s="29"/>
      <c r="K35" s="30" cm="1">
        <f t="array" ref="K35">_xlfn.IFS(AND($C$2=23,$C$5="I"),48.75,AND($C$2&gt;=24,$C$5="I"),65,AND($C$2&lt;=22,$C$5="I"),,$C$5="D",)</f>
        <v>0</v>
      </c>
      <c r="L35" s="30"/>
      <c r="M35" s="31"/>
    </row>
    <row r="36" spans="1:19" x14ac:dyDescent="0.25">
      <c r="I36" s="28">
        <v>24</v>
      </c>
      <c r="J36" s="29"/>
      <c r="K36" s="30" cm="1">
        <f t="array" ref="K36">_xlfn.IFS(AND($C$2=24,$C$5="I"),48.75,AND($C$2&gt;=25,$C$5="I"),65,AND($C$2&lt;=23,$C$5="I"),,$C$5="D",)</f>
        <v>0</v>
      </c>
      <c r="L36" s="30"/>
      <c r="M36" s="31"/>
    </row>
    <row r="37" spans="1:19" x14ac:dyDescent="0.25">
      <c r="I37" s="28">
        <v>25</v>
      </c>
      <c r="J37" s="29"/>
      <c r="K37" s="30" cm="1">
        <f t="array" ref="K37">_xlfn.IFS(AND($C$2=25,$C$5="I"),48.75,AND($C$2&gt;=26,$C$5="I"),65,AND($C$2&lt;=24,$C$5="I"),,$C$5="D",)</f>
        <v>0</v>
      </c>
      <c r="L37" s="30"/>
      <c r="M37" s="31"/>
    </row>
    <row r="38" spans="1:19" ht="15.75" thickBot="1" x14ac:dyDescent="0.3">
      <c r="I38" s="79" t="s">
        <v>6</v>
      </c>
      <c r="J38" s="80"/>
      <c r="K38" s="94">
        <f>SUM(K13:M37)</f>
        <v>227.5</v>
      </c>
      <c r="L38" s="95"/>
      <c r="M38" s="108"/>
    </row>
    <row r="57" spans="1:1" x14ac:dyDescent="0.25">
      <c r="A57" s="2" t="s">
        <v>28</v>
      </c>
    </row>
  </sheetData>
  <mergeCells count="137">
    <mergeCell ref="A5:B5"/>
    <mergeCell ref="C5:E5"/>
    <mergeCell ref="A6:B6"/>
    <mergeCell ref="C6:E6"/>
    <mergeCell ref="G6:O7"/>
    <mergeCell ref="A7:B7"/>
    <mergeCell ref="C7:E7"/>
    <mergeCell ref="A1:E1"/>
    <mergeCell ref="A2:B2"/>
    <mergeCell ref="C2:E2"/>
    <mergeCell ref="G2:O4"/>
    <mergeCell ref="A3:B3"/>
    <mergeCell ref="C3:E3"/>
    <mergeCell ref="A4:B4"/>
    <mergeCell ref="C4:E4"/>
    <mergeCell ref="O11:Q11"/>
    <mergeCell ref="A12:B12"/>
    <mergeCell ref="C12:E12"/>
    <mergeCell ref="F12:G12"/>
    <mergeCell ref="I12:J12"/>
    <mergeCell ref="K12:M12"/>
    <mergeCell ref="A8:B8"/>
    <mergeCell ref="C8:E8"/>
    <mergeCell ref="A9:B9"/>
    <mergeCell ref="C9:E9"/>
    <mergeCell ref="A11:G11"/>
    <mergeCell ref="I11:M11"/>
    <mergeCell ref="A13:B13"/>
    <mergeCell ref="C13:E13"/>
    <mergeCell ref="F13:G13"/>
    <mergeCell ref="I13:J13"/>
    <mergeCell ref="K13:M13"/>
    <mergeCell ref="A14:B14"/>
    <mergeCell ref="C14:E14"/>
    <mergeCell ref="F14:G14"/>
    <mergeCell ref="I14:J14"/>
    <mergeCell ref="K14:M14"/>
    <mergeCell ref="A15:B15"/>
    <mergeCell ref="C15:E15"/>
    <mergeCell ref="F15:G15"/>
    <mergeCell ref="I15:J15"/>
    <mergeCell ref="K15:M15"/>
    <mergeCell ref="A16:B16"/>
    <mergeCell ref="C16:E16"/>
    <mergeCell ref="F16:G16"/>
    <mergeCell ref="I16:J16"/>
    <mergeCell ref="K16:M16"/>
    <mergeCell ref="A17:B17"/>
    <mergeCell ref="C17:E17"/>
    <mergeCell ref="F17:G17"/>
    <mergeCell ref="I17:J17"/>
    <mergeCell ref="K17:M17"/>
    <mergeCell ref="A18:B18"/>
    <mergeCell ref="C18:E18"/>
    <mergeCell ref="F18:G18"/>
    <mergeCell ref="I18:J18"/>
    <mergeCell ref="K18:M18"/>
    <mergeCell ref="K20:M20"/>
    <mergeCell ref="A21:B21"/>
    <mergeCell ref="C21:E21"/>
    <mergeCell ref="F21:G21"/>
    <mergeCell ref="I21:J21"/>
    <mergeCell ref="K21:M21"/>
    <mergeCell ref="O18:Q20"/>
    <mergeCell ref="A19:B19"/>
    <mergeCell ref="C19:E19"/>
    <mergeCell ref="F19:G19"/>
    <mergeCell ref="I19:J19"/>
    <mergeCell ref="K19:M19"/>
    <mergeCell ref="A20:B20"/>
    <mergeCell ref="C20:E20"/>
    <mergeCell ref="F20:G20"/>
    <mergeCell ref="I20:J20"/>
    <mergeCell ref="A22:B22"/>
    <mergeCell ref="C22:E22"/>
    <mergeCell ref="F22:G22"/>
    <mergeCell ref="I22:J22"/>
    <mergeCell ref="K22:M22"/>
    <mergeCell ref="A23:B23"/>
    <mergeCell ref="C23:E23"/>
    <mergeCell ref="F23:G23"/>
    <mergeCell ref="I23:J23"/>
    <mergeCell ref="K23:M23"/>
    <mergeCell ref="A26:B26"/>
    <mergeCell ref="C26:E26"/>
    <mergeCell ref="I26:J26"/>
    <mergeCell ref="K26:M26"/>
    <mergeCell ref="O26:P26"/>
    <mergeCell ref="Q26:S26"/>
    <mergeCell ref="O23:S23"/>
    <mergeCell ref="I24:J24"/>
    <mergeCell ref="K24:M24"/>
    <mergeCell ref="O24:P24"/>
    <mergeCell ref="Q24:S24"/>
    <mergeCell ref="A25:E25"/>
    <mergeCell ref="I25:J25"/>
    <mergeCell ref="K25:M25"/>
    <mergeCell ref="O25:P25"/>
    <mergeCell ref="Q25:S25"/>
    <mergeCell ref="A28:B28"/>
    <mergeCell ref="C28:E28"/>
    <mergeCell ref="I28:J28"/>
    <mergeCell ref="K28:M28"/>
    <mergeCell ref="O28:P28"/>
    <mergeCell ref="Q28:S28"/>
    <mergeCell ref="A27:B27"/>
    <mergeCell ref="C27:E27"/>
    <mergeCell ref="I27:J27"/>
    <mergeCell ref="K27:M27"/>
    <mergeCell ref="O27:P27"/>
    <mergeCell ref="Q27:S27"/>
    <mergeCell ref="A32:E35"/>
    <mergeCell ref="I32:J32"/>
    <mergeCell ref="K32:M32"/>
    <mergeCell ref="I33:J33"/>
    <mergeCell ref="K33:M33"/>
    <mergeCell ref="I34:J34"/>
    <mergeCell ref="K34:M34"/>
    <mergeCell ref="A29:B29"/>
    <mergeCell ref="C29:E29"/>
    <mergeCell ref="I29:J29"/>
    <mergeCell ref="K29:M29"/>
    <mergeCell ref="A30:B30"/>
    <mergeCell ref="C30:E30"/>
    <mergeCell ref="I30:J30"/>
    <mergeCell ref="K30:M30"/>
    <mergeCell ref="I38:J38"/>
    <mergeCell ref="K38:M38"/>
    <mergeCell ref="I35:J35"/>
    <mergeCell ref="K35:M35"/>
    <mergeCell ref="I36:J36"/>
    <mergeCell ref="K36:M36"/>
    <mergeCell ref="I37:J37"/>
    <mergeCell ref="K37:M37"/>
    <mergeCell ref="O30:S33"/>
    <mergeCell ref="I31:J31"/>
    <mergeCell ref="K31:M31"/>
  </mergeCells>
  <pageMargins left="0.7" right="0.7" top="0.75" bottom="0.75" header="0.3" footer="0.3"/>
  <pageSetup scale="5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Example - Domestic</vt:lpstr>
      <vt:lpstr>Example - International</vt:lpstr>
    </vt:vector>
  </TitlesOfParts>
  <Company>Samford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Chappell, Bekah</dc:creator>
  <cp:lastModifiedBy>Chappell, Bekah</cp:lastModifiedBy>
  <cp:lastPrinted>2023-05-25T14:17:43Z</cp:lastPrinted>
  <dcterms:created xsi:type="dcterms:W3CDTF">2022-10-12T19:19:32Z</dcterms:created>
  <dcterms:modified xsi:type="dcterms:W3CDTF">2023-05-25T14:18:08Z</dcterms:modified>
</cp:coreProperties>
</file>